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4.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5.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6.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https://d.docs.live.net/ee545228e8050611/research ^0 innovation/r/slides/salford-cpd-2024/files/examples/Clive Chomonides/"/>
    </mc:Choice>
  </mc:AlternateContent>
  <xr:revisionPtr revIDLastSave="3" documentId="8_{66EF7B43-9ADF-489B-BB66-D0B4E9403DBE}" xr6:coauthVersionLast="47" xr6:coauthVersionMax="47" xr10:uidLastSave="{5B472062-AB4A-7648-9E25-41ADDD49B9DE}"/>
  <bookViews>
    <workbookView xWindow="0" yWindow="460" windowWidth="30940" windowHeight="16900" tabRatio="748" firstSheet="11" activeTab="19" xr2:uid="{FA70300A-B4F6-4B01-A2DF-F01B0E019364}"/>
  </bookViews>
  <sheets>
    <sheet name="Interview Part 1" sheetId="24" r:id="rId1"/>
    <sheet name="Interview Part 2" sheetId="25" r:id="rId2"/>
    <sheet name="Front Page &amp; Raw Test Scores" sheetId="18" r:id="rId3"/>
    <sheet name="Tests Reporter" sheetId="19" r:id="rId4"/>
    <sheet name="Tests Results Tables" sheetId="21" r:id="rId5"/>
    <sheet name="A-IADL-Q" sheetId="23" r:id="rId6"/>
    <sheet name="Graphs" sheetId="4" r:id="rId7"/>
    <sheet name="TOPF" sheetId="8" r:id="rId8"/>
    <sheet name="Standard Tests" sheetId="3" r:id="rId9"/>
    <sheet name="LR Post-Hoc" sheetId="17" r:id="rId10"/>
    <sheet name="IQCODE Calculator" sheetId="14" r:id="rId11"/>
    <sheet name="Effort" sheetId="1" r:id="rId12"/>
    <sheet name="STW2 Demographic" sheetId="15" r:id="rId13"/>
    <sheet name="RBANS Premorbid Estimator" sheetId="16" r:id="rId14"/>
    <sheet name="P(Word Recog)" sheetId="20" r:id="rId15"/>
    <sheet name="RBANS Discrepancy Analysis" sheetId="10" r:id="rId16"/>
    <sheet name="RBANS Predicted Re-test Scores" sheetId="6" r:id="rId17"/>
    <sheet name="Extended Battery" sheetId="2" r:id="rId18"/>
    <sheet name="Score Convertor" sheetId="7" r:id="rId19"/>
    <sheet name="NPP &amp; PPP Calculator" sheetId="13" r:id="rId20"/>
    <sheet name="Alcohol Calculator" sheetId="12" r:id="rId21"/>
    <sheet name="Do Not Edit" sheetId="5" r:id="rId22"/>
    <sheet name="DNE2" sheetId="9" r:id="rId23"/>
    <sheet name="DNE3" sheetId="11" r:id="rId24"/>
  </sheets>
  <externalReferences>
    <externalReference r:id="rId25"/>
    <externalReference r:id="rId26"/>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20" l="1"/>
  <c r="G37" i="1"/>
  <c r="G33" i="1"/>
  <c r="D36" i="1" s="1"/>
  <c r="P8" i="1" s="1"/>
  <c r="G27" i="1"/>
  <c r="D40" i="1"/>
  <c r="R8" i="1" s="1"/>
  <c r="E39" i="1"/>
  <c r="F39" i="1" s="1"/>
  <c r="D39" i="1"/>
  <c r="E28" i="1"/>
  <c r="F28" i="1" s="1"/>
  <c r="D28" i="1"/>
  <c r="D30" i="1"/>
  <c r="E35" i="1"/>
  <c r="F35" i="1" s="1"/>
  <c r="D35" i="1"/>
  <c r="B31" i="1"/>
  <c r="B32" i="1" s="1"/>
  <c r="E8" i="1"/>
  <c r="F8" i="1" s="1"/>
  <c r="D7" i="1"/>
  <c r="D9" i="1" s="1"/>
  <c r="E14" i="1"/>
  <c r="F14" i="1" s="1"/>
  <c r="D14" i="1"/>
  <c r="E20" i="1"/>
  <c r="F20" i="1" s="1"/>
  <c r="D20" i="1"/>
  <c r="H6" i="19" a="1"/>
  <c r="H6" i="19" s="1"/>
  <c r="F17" i="18"/>
  <c r="D15" i="18"/>
  <c r="X54" i="13"/>
  <c r="T57" i="13" s="1"/>
  <c r="G94" i="13"/>
  <c r="G93" i="13"/>
  <c r="G91" i="13"/>
  <c r="Q88" i="13"/>
  <c r="N88" i="13"/>
  <c r="Q85" i="13"/>
  <c r="N85" i="13"/>
  <c r="N63" i="13"/>
  <c r="K57" i="13"/>
  <c r="Q57" i="13"/>
  <c r="Q56" i="13"/>
  <c r="K56" i="13"/>
  <c r="G36" i="23"/>
  <c r="G34" i="23"/>
  <c r="G35" i="23" s="1"/>
  <c r="G37" i="23" s="1"/>
  <c r="I37" i="23" s="1"/>
  <c r="L37" i="23" s="1"/>
  <c r="E29" i="1" l="1"/>
  <c r="D32" i="1" s="1"/>
  <c r="N8" i="1" s="1"/>
  <c r="T56" i="13"/>
  <c r="K39" i="3" l="1"/>
  <c r="L38" i="3"/>
  <c r="L37" i="3"/>
  <c r="L36" i="3"/>
  <c r="L39" i="3" s="1"/>
  <c r="K38" i="3"/>
  <c r="K37" i="3"/>
  <c r="K36" i="3"/>
  <c r="J38" i="3"/>
  <c r="J37" i="3"/>
  <c r="J36" i="3"/>
  <c r="B42" i="3"/>
  <c r="B41" i="3"/>
  <c r="B46" i="3"/>
  <c r="B45" i="3"/>
  <c r="B31" i="3"/>
  <c r="B32" i="3"/>
  <c r="B33" i="3"/>
  <c r="B34" i="3"/>
  <c r="B30" i="3"/>
  <c r="B21" i="3"/>
  <c r="C18" i="21" s="1"/>
  <c r="B20" i="3"/>
  <c r="C17" i="21" s="1"/>
  <c r="B19" i="3"/>
  <c r="B18" i="3"/>
  <c r="C15" i="21" s="1"/>
  <c r="B17" i="3"/>
  <c r="C14" i="21" s="1"/>
  <c r="B16" i="3"/>
  <c r="C13" i="21" s="1"/>
  <c r="B15" i="3"/>
  <c r="C12" i="21" s="1"/>
  <c r="B14" i="3"/>
  <c r="C11" i="21" s="1"/>
  <c r="B12" i="3"/>
  <c r="B13" i="3"/>
  <c r="C10" i="21" s="1"/>
  <c r="B39" i="3"/>
  <c r="B38" i="3"/>
  <c r="AJ19" i="5"/>
  <c r="D19" i="21"/>
  <c r="A5" i="3"/>
  <c r="B2" i="21" s="1"/>
  <c r="G10" i="15"/>
  <c r="N15" i="15"/>
  <c r="B3" i="8"/>
  <c r="D50" i="18"/>
  <c r="B36" i="3" s="1"/>
  <c r="D52" i="18"/>
  <c r="B37" i="3" s="1"/>
  <c r="R9" i="7"/>
  <c r="S11" i="7" s="1"/>
  <c r="R11" i="7" s="1"/>
  <c r="J39" i="3" l="1"/>
  <c r="C9" i="21"/>
  <c r="C16" i="21"/>
  <c r="S13" i="7"/>
  <c r="R13" i="7" s="1"/>
  <c r="V47" i="13" l="1"/>
  <c r="T47" i="13"/>
  <c r="M16" i="3"/>
  <c r="E5" i="17"/>
  <c r="D5" i="17"/>
  <c r="G3" i="17"/>
  <c r="F3" i="17"/>
  <c r="E3" i="17"/>
  <c r="D3" i="17"/>
  <c r="D36" i="18"/>
  <c r="B11" i="3" s="1"/>
  <c r="C8" i="21" s="1"/>
  <c r="D35" i="18"/>
  <c r="B10" i="3" s="1"/>
  <c r="C7" i="21" s="1"/>
  <c r="D9" i="18"/>
  <c r="E24" i="15" l="1"/>
  <c r="B57" i="2"/>
  <c r="W61" i="2"/>
  <c r="W60" i="2"/>
  <c r="W59" i="2"/>
  <c r="M39" i="3" l="1"/>
  <c r="M38" i="3"/>
  <c r="M37" i="3"/>
  <c r="M36" i="3"/>
  <c r="D3" i="20"/>
  <c r="D6" i="20" s="1"/>
  <c r="B33" i="20"/>
  <c r="C33" i="20" s="1"/>
  <c r="B32" i="20"/>
  <c r="C32" i="20" s="1"/>
  <c r="B31" i="20"/>
  <c r="C31" i="20" s="1"/>
  <c r="B30" i="20"/>
  <c r="C30" i="20" s="1"/>
  <c r="B29" i="20"/>
  <c r="C29" i="20" s="1"/>
  <c r="B28" i="20"/>
  <c r="C28" i="20" s="1"/>
  <c r="B27" i="20"/>
  <c r="C27" i="20" s="1"/>
  <c r="B26" i="20"/>
  <c r="C26" i="20" s="1"/>
  <c r="B25" i="20"/>
  <c r="C25" i="20" s="1"/>
  <c r="B24" i="20"/>
  <c r="C24" i="20" s="1"/>
  <c r="B23" i="20"/>
  <c r="C23" i="20" s="1"/>
  <c r="B22" i="20"/>
  <c r="C22" i="20" s="1"/>
  <c r="B21" i="20"/>
  <c r="C21" i="20" s="1"/>
  <c r="B20" i="20"/>
  <c r="C20" i="20" s="1"/>
  <c r="B19" i="20"/>
  <c r="C19" i="20" s="1"/>
  <c r="B18" i="20"/>
  <c r="C18" i="20" s="1"/>
  <c r="B17" i="20"/>
  <c r="C17" i="20" s="1"/>
  <c r="B16" i="20"/>
  <c r="C16" i="20" s="1"/>
  <c r="B15" i="20"/>
  <c r="C15" i="20" s="1"/>
  <c r="B14" i="20"/>
  <c r="C14" i="20" s="1"/>
  <c r="B13" i="20"/>
  <c r="C13" i="20" s="1"/>
  <c r="E20" i="8"/>
  <c r="E22" i="8"/>
  <c r="F4" i="6"/>
  <c r="E10" i="8"/>
  <c r="F9" i="8"/>
  <c r="J3" i="16" s="1"/>
  <c r="B3" i="16" s="1"/>
  <c r="F11" i="8"/>
  <c r="I27" i="17"/>
  <c r="I26" i="17"/>
  <c r="I25" i="17"/>
  <c r="J14" i="17"/>
  <c r="I14" i="17"/>
  <c r="J13" i="17"/>
  <c r="I13" i="17"/>
  <c r="J12" i="17"/>
  <c r="I12" i="17"/>
  <c r="D12" i="17"/>
  <c r="C10" i="19" s="1"/>
  <c r="D10" i="17"/>
  <c r="D8" i="17"/>
  <c r="D4" i="20" l="1"/>
  <c r="D5" i="20" s="1"/>
  <c r="G5" i="20" s="1"/>
  <c r="C11" i="19" s="1"/>
  <c r="D45" i="21"/>
  <c r="C45" i="21"/>
  <c r="I24" i="17"/>
  <c r="G15" i="17"/>
  <c r="I17" i="16"/>
  <c r="W25" i="16"/>
  <c r="W24" i="16"/>
  <c r="W23" i="16"/>
  <c r="W22" i="16"/>
  <c r="W21" i="16"/>
  <c r="W20" i="16"/>
  <c r="W19" i="16"/>
  <c r="W18" i="16"/>
  <c r="W17" i="16"/>
  <c r="W16" i="16"/>
  <c r="W15" i="16"/>
  <c r="W14" i="16"/>
  <c r="W13" i="16"/>
  <c r="W12" i="16"/>
  <c r="W11" i="16"/>
  <c r="W10" i="16"/>
  <c r="W9" i="16"/>
  <c r="W8" i="16"/>
  <c r="W7" i="16"/>
  <c r="T25" i="16"/>
  <c r="T24" i="16"/>
  <c r="T23" i="16"/>
  <c r="T22" i="16"/>
  <c r="T21" i="16"/>
  <c r="T20" i="16"/>
  <c r="T18" i="16"/>
  <c r="T17" i="16"/>
  <c r="T16" i="16"/>
  <c r="T15" i="16"/>
  <c r="T14" i="16"/>
  <c r="T13" i="16"/>
  <c r="T12" i="16"/>
  <c r="T11" i="16"/>
  <c r="T10" i="16"/>
  <c r="T9" i="16"/>
  <c r="T8" i="16"/>
  <c r="T7" i="16"/>
  <c r="S25" i="16"/>
  <c r="S24" i="16"/>
  <c r="S23" i="16"/>
  <c r="S22" i="16"/>
  <c r="S21" i="16"/>
  <c r="S20" i="16"/>
  <c r="S18" i="16"/>
  <c r="S17" i="16"/>
  <c r="S16" i="16"/>
  <c r="S15" i="16"/>
  <c r="S14" i="16"/>
  <c r="S13" i="16"/>
  <c r="S12" i="16"/>
  <c r="S11" i="16"/>
  <c r="S10" i="16"/>
  <c r="S9" i="16"/>
  <c r="S8" i="16"/>
  <c r="S7" i="16"/>
  <c r="L9" i="16"/>
  <c r="L10" i="16"/>
  <c r="L11" i="16"/>
  <c r="L12" i="16"/>
  <c r="L13" i="16"/>
  <c r="L14" i="16"/>
  <c r="L15" i="16"/>
  <c r="L16" i="16"/>
  <c r="L17" i="16"/>
  <c r="L18" i="16"/>
  <c r="L8" i="16"/>
  <c r="L7" i="16"/>
  <c r="B4" i="16"/>
  <c r="J21" i="16" s="1"/>
  <c r="B1" i="16"/>
  <c r="G18" i="16" s="1"/>
  <c r="B113" i="9"/>
  <c r="B118" i="9"/>
  <c r="G11" i="16" l="1"/>
  <c r="G20" i="16"/>
  <c r="J12" i="16"/>
  <c r="J7" i="16"/>
  <c r="J15" i="16"/>
  <c r="J24" i="16"/>
  <c r="J22" i="16"/>
  <c r="J8" i="16"/>
  <c r="J16" i="16"/>
  <c r="J25" i="16"/>
  <c r="J23" i="16"/>
  <c r="J9" i="16"/>
  <c r="J17" i="16"/>
  <c r="J10" i="16"/>
  <c r="J18" i="16"/>
  <c r="J13" i="16"/>
  <c r="J14" i="16"/>
  <c r="J11" i="16"/>
  <c r="J20" i="16"/>
  <c r="I10" i="16"/>
  <c r="I18" i="16"/>
  <c r="I11" i="16"/>
  <c r="I21" i="16"/>
  <c r="I22" i="16"/>
  <c r="I14" i="16"/>
  <c r="I23" i="16"/>
  <c r="I7" i="16"/>
  <c r="I15" i="16"/>
  <c r="I24" i="16"/>
  <c r="I20" i="16"/>
  <c r="I12" i="16"/>
  <c r="I13" i="16"/>
  <c r="I8" i="16"/>
  <c r="I16" i="16"/>
  <c r="I25" i="16"/>
  <c r="I9" i="16"/>
  <c r="G21" i="16"/>
  <c r="G13" i="16"/>
  <c r="G14" i="16"/>
  <c r="G24" i="16"/>
  <c r="G8" i="16"/>
  <c r="G16" i="16"/>
  <c r="G25" i="16"/>
  <c r="G12" i="16"/>
  <c r="G22" i="16"/>
  <c r="G23" i="16"/>
  <c r="G7" i="16"/>
  <c r="G15" i="16"/>
  <c r="G9" i="16"/>
  <c r="G17" i="16"/>
  <c r="G10" i="16"/>
  <c r="K25" i="15"/>
  <c r="K24" i="15" l="1"/>
  <c r="G11" i="15"/>
  <c r="F12" i="15"/>
  <c r="G12" i="15" s="1"/>
  <c r="F15" i="15" l="1"/>
  <c r="B87" i="2"/>
  <c r="C88" i="2" s="1"/>
  <c r="D88" i="2" s="1"/>
  <c r="D19" i="14"/>
  <c r="T43" i="13"/>
  <c r="K43" i="13"/>
  <c r="K42" i="13"/>
  <c r="T42" i="13"/>
  <c r="J29" i="13"/>
  <c r="M29" i="13"/>
  <c r="M28" i="13"/>
  <c r="P28" i="13"/>
  <c r="Q43" i="13" s="1"/>
  <c r="D28" i="13"/>
  <c r="G28" i="13"/>
  <c r="G27" i="13"/>
  <c r="P27" i="13"/>
  <c r="M27" i="13"/>
  <c r="J27" i="13"/>
  <c r="J30" i="13" s="1"/>
  <c r="D27" i="13"/>
  <c r="L13" i="13"/>
  <c r="L11" i="13"/>
  <c r="M5" i="13"/>
  <c r="M6" i="13" s="1"/>
  <c r="P7" i="13"/>
  <c r="P9" i="13"/>
  <c r="D68" i="6"/>
  <c r="D65" i="6"/>
  <c r="B68" i="6"/>
  <c r="B67" i="6"/>
  <c r="D67" i="6" s="1"/>
  <c r="B66" i="6"/>
  <c r="D66" i="6" s="1"/>
  <c r="B65" i="6"/>
  <c r="B64" i="6"/>
  <c r="D64" i="6" s="1"/>
  <c r="B63" i="6"/>
  <c r="D63" i="6" s="1"/>
  <c r="B52" i="6"/>
  <c r="B51" i="6"/>
  <c r="B50" i="6"/>
  <c r="B49" i="6"/>
  <c r="B48" i="6"/>
  <c r="B47" i="6"/>
  <c r="J9" i="3"/>
  <c r="L5" i="3"/>
  <c r="P27" i="6"/>
  <c r="Q36" i="6"/>
  <c r="R36" i="6" s="1"/>
  <c r="Q35" i="6"/>
  <c r="R35" i="6" s="1"/>
  <c r="Q34" i="6"/>
  <c r="R34" i="6" s="1"/>
  <c r="Q33" i="6"/>
  <c r="R33" i="6" s="1"/>
  <c r="Q32" i="6"/>
  <c r="R32" i="6" s="1"/>
  <c r="Q31" i="6"/>
  <c r="R31" i="6" s="1"/>
  <c r="Q30" i="6"/>
  <c r="R30" i="6" s="1"/>
  <c r="Q29" i="6"/>
  <c r="R29" i="6" s="1"/>
  <c r="Q28" i="6"/>
  <c r="R28" i="6" s="1"/>
  <c r="Q27" i="6"/>
  <c r="S27" i="6" s="1"/>
  <c r="U27" i="6" s="1"/>
  <c r="V27" i="6" s="1"/>
  <c r="Q26" i="6"/>
  <c r="R26" i="6" s="1"/>
  <c r="Q25" i="6"/>
  <c r="R25" i="6" s="1"/>
  <c r="F1" i="3"/>
  <c r="D3" i="3"/>
  <c r="O4" i="6" s="1"/>
  <c r="F8" i="12"/>
  <c r="F7" i="12"/>
  <c r="F5" i="12"/>
  <c r="F4" i="12"/>
  <c r="F3" i="12"/>
  <c r="O2" i="6"/>
  <c r="O3" i="6"/>
  <c r="N57" i="13" l="1"/>
  <c r="N56" i="13"/>
  <c r="H57" i="13"/>
  <c r="H56" i="13"/>
  <c r="R47" i="13"/>
  <c r="E57" i="13"/>
  <c r="E56" i="13"/>
  <c r="R27" i="6"/>
  <c r="H42" i="13"/>
  <c r="S47" i="13"/>
  <c r="N42" i="13"/>
  <c r="U47" i="13"/>
  <c r="H43" i="13"/>
  <c r="C89" i="2"/>
  <c r="D89" i="2" s="1"/>
  <c r="J31" i="13"/>
  <c r="G31" i="13"/>
  <c r="D31" i="13"/>
  <c r="E43" i="13"/>
  <c r="E42" i="13"/>
  <c r="N43" i="13"/>
  <c r="Q42" i="13"/>
  <c r="P31" i="13"/>
  <c r="M31" i="13"/>
  <c r="D30" i="13"/>
  <c r="G30" i="13"/>
  <c r="M30" i="13"/>
  <c r="P30" i="13"/>
  <c r="O5" i="6"/>
  <c r="F13" i="12"/>
  <c r="D15" i="12" s="1"/>
  <c r="E65" i="13" l="1"/>
  <c r="E68" i="13" s="1"/>
  <c r="D62" i="13"/>
  <c r="F62" i="13"/>
  <c r="L48" i="13"/>
  <c r="N48" i="13" s="1"/>
  <c r="O48" i="13" s="1"/>
  <c r="D48" i="13"/>
  <c r="F48" i="13" s="1"/>
  <c r="O44" i="6"/>
  <c r="O43" i="6"/>
  <c r="P43" i="6" s="1"/>
  <c r="N142" i="5" s="1"/>
  <c r="O42" i="6"/>
  <c r="O41" i="6"/>
  <c r="P41" i="6" s="1"/>
  <c r="L142" i="5" s="1"/>
  <c r="O40" i="6"/>
  <c r="O39" i="6"/>
  <c r="DJ52" i="11"/>
  <c r="DJ51" i="11"/>
  <c r="CH52" i="11"/>
  <c r="CH51" i="11"/>
  <c r="BF52" i="11"/>
  <c r="BF51" i="11"/>
  <c r="AD52" i="11"/>
  <c r="AD51" i="11"/>
  <c r="DJ79" i="11"/>
  <c r="DJ78" i="11"/>
  <c r="CH79" i="11"/>
  <c r="CH78" i="11"/>
  <c r="BF79" i="11"/>
  <c r="BF78" i="11"/>
  <c r="AD79" i="11"/>
  <c r="AD78" i="11"/>
  <c r="DJ122" i="11"/>
  <c r="DJ121" i="11"/>
  <c r="CH122" i="11"/>
  <c r="CH121" i="11"/>
  <c r="BF122" i="11"/>
  <c r="BF121" i="11"/>
  <c r="AD122" i="11"/>
  <c r="AD121" i="11"/>
  <c r="DJ218" i="11"/>
  <c r="DJ217" i="11"/>
  <c r="CH218" i="11"/>
  <c r="CH217" i="11"/>
  <c r="BF218" i="11"/>
  <c r="BF217" i="11"/>
  <c r="AD218" i="11"/>
  <c r="AD217" i="11"/>
  <c r="DJ268" i="11"/>
  <c r="DJ267" i="11"/>
  <c r="CH268" i="11"/>
  <c r="CH267" i="11"/>
  <c r="BF268" i="11"/>
  <c r="BF267" i="11"/>
  <c r="AD268" i="11"/>
  <c r="AD267" i="11"/>
  <c r="B268" i="11"/>
  <c r="B267" i="11"/>
  <c r="B218" i="11"/>
  <c r="B217" i="11"/>
  <c r="B122" i="11"/>
  <c r="B121" i="11"/>
  <c r="B79" i="11"/>
  <c r="B78" i="11"/>
  <c r="F78" i="11" s="1"/>
  <c r="B275" i="11" s="1"/>
  <c r="B52" i="11"/>
  <c r="J52" i="11" s="1"/>
  <c r="B51" i="11"/>
  <c r="P196" i="5"/>
  <c r="P195" i="5"/>
  <c r="P194" i="5"/>
  <c r="P193" i="5"/>
  <c r="P192" i="5"/>
  <c r="P191" i="5"/>
  <c r="P190" i="5"/>
  <c r="CA113" i="9"/>
  <c r="AK113" i="9"/>
  <c r="BM113" i="9"/>
  <c r="BT113" i="9"/>
  <c r="BF113" i="9"/>
  <c r="AY113" i="9"/>
  <c r="AR113" i="9"/>
  <c r="AD113" i="9"/>
  <c r="W113" i="9"/>
  <c r="P113" i="9"/>
  <c r="F217" i="11" l="1"/>
  <c r="B277" i="11" s="1"/>
  <c r="AH217" i="11"/>
  <c r="C277" i="11" s="1"/>
  <c r="AH267" i="11"/>
  <c r="C278" i="11" s="1"/>
  <c r="L143" i="5"/>
  <c r="L145" i="5"/>
  <c r="L146" i="5"/>
  <c r="L144" i="5"/>
  <c r="BJ267" i="11"/>
  <c r="D278" i="11" s="1"/>
  <c r="F121" i="11"/>
  <c r="B276" i="11" s="1"/>
  <c r="CL121" i="11"/>
  <c r="E276" i="11" s="1"/>
  <c r="CL78" i="11"/>
  <c r="E275" i="11" s="1"/>
  <c r="CL51" i="11"/>
  <c r="E274" i="11" s="1"/>
  <c r="N145" i="5"/>
  <c r="N146" i="5"/>
  <c r="N144" i="5"/>
  <c r="N143" i="5"/>
  <c r="AH121" i="11"/>
  <c r="C276" i="11" s="1"/>
  <c r="AH78" i="11"/>
  <c r="C275" i="11" s="1"/>
  <c r="AH51" i="11"/>
  <c r="C274" i="11" s="1"/>
  <c r="DN217" i="11"/>
  <c r="F277" i="11" s="1"/>
  <c r="BJ217" i="11"/>
  <c r="D277" i="11" s="1"/>
  <c r="CL217" i="11"/>
  <c r="E277" i="11" s="1"/>
  <c r="F267" i="11"/>
  <c r="B278" i="11" s="1"/>
  <c r="DN267" i="11"/>
  <c r="F278" i="11" s="1"/>
  <c r="BJ121" i="11"/>
  <c r="D276" i="11" s="1"/>
  <c r="BJ78" i="11"/>
  <c r="D275" i="11" s="1"/>
  <c r="BJ51" i="11"/>
  <c r="D274" i="11" s="1"/>
  <c r="CL267" i="11"/>
  <c r="E278" i="11" s="1"/>
  <c r="F51" i="11"/>
  <c r="B274" i="11" s="1"/>
  <c r="DN121" i="11"/>
  <c r="F276" i="11" s="1"/>
  <c r="DN78" i="11"/>
  <c r="F275" i="11" s="1"/>
  <c r="DN51" i="11"/>
  <c r="F274" i="11" s="1"/>
  <c r="F52" i="11"/>
  <c r="I113" i="9"/>
  <c r="BD34" i="9"/>
  <c r="AW34" i="9"/>
  <c r="AP34" i="9"/>
  <c r="AI34" i="9"/>
  <c r="AB34" i="9"/>
  <c r="AB41" i="9" s="1"/>
  <c r="R86" i="5"/>
  <c r="R87" i="5"/>
  <c r="R85" i="5"/>
  <c r="R82" i="5"/>
  <c r="R83" i="5"/>
  <c r="R84" i="5"/>
  <c r="R81" i="5"/>
  <c r="C22" i="3"/>
  <c r="E168" i="5"/>
  <c r="D168" i="5"/>
  <c r="C168" i="5"/>
  <c r="G156" i="5"/>
  <c r="F156" i="5"/>
  <c r="E156" i="5"/>
  <c r="D156" i="5"/>
  <c r="C156" i="5"/>
  <c r="C62" i="1"/>
  <c r="C28" i="6"/>
  <c r="E142" i="5" s="1"/>
  <c r="C29" i="6"/>
  <c r="F142" i="5" s="1"/>
  <c r="C30" i="6"/>
  <c r="D28" i="2"/>
  <c r="E28" i="2" s="1"/>
  <c r="X119" i="5"/>
  <c r="Y119" i="5"/>
  <c r="X120" i="5"/>
  <c r="Y120" i="5"/>
  <c r="X121" i="5"/>
  <c r="Y121" i="5"/>
  <c r="X122" i="5"/>
  <c r="Y122" i="5"/>
  <c r="X123" i="5"/>
  <c r="Y123" i="5"/>
  <c r="X126" i="5"/>
  <c r="Y126" i="5"/>
  <c r="X127" i="5"/>
  <c r="Y127" i="5"/>
  <c r="X128" i="5"/>
  <c r="Y128" i="5"/>
  <c r="F9" i="7"/>
  <c r="B9" i="7"/>
  <c r="D63" i="1"/>
  <c r="E64" i="1"/>
  <c r="E63" i="1"/>
  <c r="E122" i="5"/>
  <c r="E121" i="5"/>
  <c r="F127" i="5"/>
  <c r="G125" i="5" s="1"/>
  <c r="D127" i="5"/>
  <c r="E126" i="5" s="1"/>
  <c r="B127" i="5"/>
  <c r="C123" i="5" s="1"/>
  <c r="B36" i="1"/>
  <c r="C64" i="1"/>
  <c r="C63" i="1"/>
  <c r="B53" i="1"/>
  <c r="B54" i="1"/>
  <c r="B74" i="1"/>
  <c r="B1" i="9"/>
  <c r="C1" i="9" s="1"/>
  <c r="B271" i="11" s="1"/>
  <c r="D49" i="2"/>
  <c r="C49" i="2"/>
  <c r="F10" i="8"/>
  <c r="B4" i="6"/>
  <c r="R1" i="6" s="1"/>
  <c r="D1" i="3"/>
  <c r="D2" i="3"/>
  <c r="B5" i="6" s="1"/>
  <c r="D83" i="2"/>
  <c r="C83" i="2"/>
  <c r="D82" i="2"/>
  <c r="C82" i="2"/>
  <c r="D81" i="2"/>
  <c r="C81" i="2"/>
  <c r="D78" i="2"/>
  <c r="D77" i="2"/>
  <c r="D74" i="2"/>
  <c r="D72" i="2"/>
  <c r="D70" i="2"/>
  <c r="D69" i="2"/>
  <c r="D64" i="2"/>
  <c r="L147" i="5" l="1"/>
  <c r="J24" i="3"/>
  <c r="J23" i="3"/>
  <c r="J26" i="3"/>
  <c r="J25" i="3"/>
  <c r="J28" i="3"/>
  <c r="J27" i="3"/>
  <c r="C24" i="3"/>
  <c r="D21" i="21" s="1"/>
  <c r="P29" i="6"/>
  <c r="S29" i="6" s="1"/>
  <c r="U29" i="6" s="1"/>
  <c r="V29" i="6" s="1"/>
  <c r="B2" i="16"/>
  <c r="B281" i="11"/>
  <c r="F2" i="3"/>
  <c r="K26" i="15"/>
  <c r="N147" i="5"/>
  <c r="B3" i="6"/>
  <c r="P26" i="6" s="1"/>
  <c r="S26" i="6" s="1"/>
  <c r="U26" i="6" s="1"/>
  <c r="V26" i="6" s="1"/>
  <c r="I20" i="3"/>
  <c r="J20" i="3" s="1"/>
  <c r="I17" i="3"/>
  <c r="J17" i="3" s="1"/>
  <c r="I16" i="3"/>
  <c r="J16" i="3" s="1"/>
  <c r="I15" i="3"/>
  <c r="J15" i="3" s="1"/>
  <c r="I12" i="3"/>
  <c r="J12" i="3" s="1"/>
  <c r="I11" i="3"/>
  <c r="J11" i="3" s="1"/>
  <c r="I10" i="3"/>
  <c r="J10" i="3" s="1"/>
  <c r="I21" i="3"/>
  <c r="J21" i="3" s="1"/>
  <c r="O1" i="6"/>
  <c r="C125" i="5"/>
  <c r="E123" i="5"/>
  <c r="G126" i="5"/>
  <c r="B285" i="11"/>
  <c r="B27" i="3" s="1"/>
  <c r="C24" i="21" s="1"/>
  <c r="B284" i="11"/>
  <c r="B282" i="11"/>
  <c r="B24" i="3" s="1"/>
  <c r="C21" i="21" s="1"/>
  <c r="B283" i="11"/>
  <c r="B25" i="3" s="1"/>
  <c r="C22" i="21" s="1"/>
  <c r="BF112" i="9"/>
  <c r="BF114" i="9" s="1"/>
  <c r="D13" i="3" s="1"/>
  <c r="E10" i="21" s="1"/>
  <c r="BT112" i="9"/>
  <c r="BT114" i="9" s="1"/>
  <c r="D18" i="3" s="1"/>
  <c r="BM112" i="9"/>
  <c r="BM114" i="9" s="1"/>
  <c r="D14" i="3" s="1"/>
  <c r="CA112" i="9"/>
  <c r="CA114" i="9" s="1"/>
  <c r="D19" i="3" s="1"/>
  <c r="I112" i="9"/>
  <c r="AK112" i="9"/>
  <c r="AY112" i="9"/>
  <c r="AD112" i="9"/>
  <c r="AR112" i="9"/>
  <c r="G18" i="10"/>
  <c r="AB32" i="9"/>
  <c r="B112" i="9"/>
  <c r="C36" i="3"/>
  <c r="R77" i="5" s="1"/>
  <c r="W112" i="9"/>
  <c r="P112" i="9"/>
  <c r="G6" i="10"/>
  <c r="G4" i="10"/>
  <c r="G16" i="10"/>
  <c r="G8" i="10"/>
  <c r="G5" i="10"/>
  <c r="G17" i="10"/>
  <c r="G7" i="10"/>
  <c r="G9" i="10"/>
  <c r="C37" i="3"/>
  <c r="R78" i="5" s="1"/>
  <c r="G10" i="10"/>
  <c r="G11" i="10"/>
  <c r="G12" i="10"/>
  <c r="G13" i="10"/>
  <c r="C38" i="3"/>
  <c r="G14" i="10"/>
  <c r="C39" i="3"/>
  <c r="R80" i="5" s="1"/>
  <c r="G15" i="10"/>
  <c r="C26" i="3"/>
  <c r="D23" i="21" s="1"/>
  <c r="C27" i="3"/>
  <c r="D24" i="21" s="1"/>
  <c r="AK8" i="5"/>
  <c r="C28" i="3"/>
  <c r="D25" i="21" s="1"/>
  <c r="C25" i="3"/>
  <c r="D22" i="21" s="1"/>
  <c r="C23" i="3"/>
  <c r="D20" i="21" s="1"/>
  <c r="B65" i="1"/>
  <c r="G142" i="5"/>
  <c r="G146" i="5" s="1"/>
  <c r="F144" i="5"/>
  <c r="F143" i="5"/>
  <c r="F145" i="5"/>
  <c r="E145" i="5"/>
  <c r="E144" i="5"/>
  <c r="E143" i="5"/>
  <c r="F146" i="5"/>
  <c r="E146" i="5"/>
  <c r="C124" i="5"/>
  <c r="C126" i="5"/>
  <c r="E124" i="5"/>
  <c r="E125" i="5"/>
  <c r="C121" i="5"/>
  <c r="G122" i="5"/>
  <c r="G121" i="5"/>
  <c r="G123" i="5"/>
  <c r="C122" i="5"/>
  <c r="G124" i="5"/>
  <c r="F12" i="7"/>
  <c r="H9" i="7"/>
  <c r="D42" i="3"/>
  <c r="D41" i="3"/>
  <c r="D85" i="2"/>
  <c r="C85" i="2"/>
  <c r="D84" i="2"/>
  <c r="C84" i="2"/>
  <c r="D76" i="2"/>
  <c r="D75" i="2"/>
  <c r="D73" i="2"/>
  <c r="D71" i="2"/>
  <c r="D68" i="2"/>
  <c r="D67" i="2"/>
  <c r="D66" i="2"/>
  <c r="D65" i="2"/>
  <c r="B56" i="1"/>
  <c r="B55" i="1"/>
  <c r="H63" i="5"/>
  <c r="H62" i="5"/>
  <c r="H61" i="5"/>
  <c r="H60" i="5"/>
  <c r="H59" i="5"/>
  <c r="F63" i="5"/>
  <c r="F62" i="5"/>
  <c r="F61" i="5"/>
  <c r="F60" i="5"/>
  <c r="F59" i="5"/>
  <c r="D63" i="5"/>
  <c r="D62" i="5"/>
  <c r="D61" i="5"/>
  <c r="D60" i="5"/>
  <c r="D59" i="5"/>
  <c r="K63" i="5"/>
  <c r="I63" i="5"/>
  <c r="K62" i="5"/>
  <c r="I62" i="5"/>
  <c r="K61" i="5"/>
  <c r="I61" i="5"/>
  <c r="K60" i="5"/>
  <c r="I60" i="5"/>
  <c r="K59" i="5"/>
  <c r="I59" i="5"/>
  <c r="D62" i="2"/>
  <c r="D61" i="2"/>
  <c r="D60" i="2"/>
  <c r="D59" i="2"/>
  <c r="B53" i="5" s="1"/>
  <c r="B14" i="1"/>
  <c r="B13" i="1"/>
  <c r="V10" i="3" a="1"/>
  <c r="R79" i="5" l="1"/>
  <c r="U19" i="3"/>
  <c r="W19" i="3" s="1"/>
  <c r="E16" i="21"/>
  <c r="U18" i="3"/>
  <c r="V18" i="3" s="1"/>
  <c r="E15" i="21"/>
  <c r="U14" i="3"/>
  <c r="W14" i="3" s="1"/>
  <c r="E11" i="21"/>
  <c r="B26" i="3"/>
  <c r="AI32" i="9"/>
  <c r="AP32" i="9" s="1"/>
  <c r="B23" i="3"/>
  <c r="L23" i="3" s="1"/>
  <c r="V10" i="3"/>
  <c r="U13" i="3"/>
  <c r="C26" i="6"/>
  <c r="C142" i="5" s="1"/>
  <c r="C145" i="5" s="1"/>
  <c r="C25" i="6"/>
  <c r="B142" i="5" s="1"/>
  <c r="B144" i="5" s="1"/>
  <c r="E60" i="2"/>
  <c r="E53" i="5"/>
  <c r="E54" i="5"/>
  <c r="E61" i="2"/>
  <c r="C53" i="5"/>
  <c r="E62" i="2"/>
  <c r="D53" i="5"/>
  <c r="H24" i="16"/>
  <c r="K24" i="16" s="1"/>
  <c r="H15" i="16"/>
  <c r="K15" i="16" s="1"/>
  <c r="H7" i="16"/>
  <c r="K7" i="16" s="1"/>
  <c r="H23" i="16"/>
  <c r="K23" i="16" s="1"/>
  <c r="H14" i="16"/>
  <c r="K14" i="16" s="1"/>
  <c r="H22" i="16"/>
  <c r="K22" i="16" s="1"/>
  <c r="H13" i="16"/>
  <c r="K13" i="16" s="1"/>
  <c r="H12" i="16"/>
  <c r="K12" i="16" s="1"/>
  <c r="H20" i="16"/>
  <c r="K20" i="16" s="1"/>
  <c r="H11" i="16"/>
  <c r="K11" i="16" s="1"/>
  <c r="H18" i="16"/>
  <c r="K18" i="16" s="1"/>
  <c r="H10" i="16"/>
  <c r="K10" i="16" s="1"/>
  <c r="H17" i="16"/>
  <c r="K17" i="16" s="1"/>
  <c r="H9" i="16"/>
  <c r="K9" i="16" s="1"/>
  <c r="H25" i="16"/>
  <c r="K25" i="16" s="1"/>
  <c r="H16" i="16"/>
  <c r="K16" i="16" s="1"/>
  <c r="H8" i="16"/>
  <c r="K8" i="16" s="1"/>
  <c r="H21" i="16"/>
  <c r="K21" i="16" s="1"/>
  <c r="C27" i="6"/>
  <c r="D142" i="5" s="1"/>
  <c r="D146" i="5" s="1"/>
  <c r="O12" i="6"/>
  <c r="P12" i="6" s="1"/>
  <c r="R12" i="6" s="1"/>
  <c r="L22" i="16"/>
  <c r="P42" i="6"/>
  <c r="M142" i="5" s="1"/>
  <c r="M143" i="5" s="1"/>
  <c r="O11" i="6"/>
  <c r="P11" i="6" s="1"/>
  <c r="L21" i="16"/>
  <c r="O14" i="6"/>
  <c r="P14" i="6" s="1"/>
  <c r="S14" i="6" s="1"/>
  <c r="L24" i="16"/>
  <c r="P35" i="6"/>
  <c r="S35" i="6" s="1"/>
  <c r="U35" i="6" s="1"/>
  <c r="V35" i="6" s="1"/>
  <c r="P30" i="6"/>
  <c r="S30" i="6" s="1"/>
  <c r="U30" i="6" s="1"/>
  <c r="V30" i="6" s="1"/>
  <c r="K24" i="3"/>
  <c r="L24" i="3"/>
  <c r="P36" i="6"/>
  <c r="S36" i="6" s="1"/>
  <c r="U36" i="6" s="1"/>
  <c r="V36" i="6" s="1"/>
  <c r="P28" i="6"/>
  <c r="S28" i="6" s="1"/>
  <c r="U28" i="6" s="1"/>
  <c r="V28" i="6" s="1"/>
  <c r="P34" i="6"/>
  <c r="S34" i="6" s="1"/>
  <c r="U34" i="6" s="1"/>
  <c r="V34" i="6" s="1"/>
  <c r="P32" i="6"/>
  <c r="S32" i="6" s="1"/>
  <c r="U32" i="6" s="1"/>
  <c r="V32" i="6" s="1"/>
  <c r="P33" i="6"/>
  <c r="S33" i="6" s="1"/>
  <c r="U33" i="6" s="1"/>
  <c r="V33" i="6" s="1"/>
  <c r="P31" i="6"/>
  <c r="S31" i="6" s="1"/>
  <c r="U31" i="6" s="1"/>
  <c r="V31" i="6" s="1"/>
  <c r="K25" i="3"/>
  <c r="L25" i="3"/>
  <c r="L27" i="3"/>
  <c r="K27" i="3"/>
  <c r="P40" i="6"/>
  <c r="K142" i="5" s="1"/>
  <c r="P25" i="6"/>
  <c r="S25" i="6" s="1"/>
  <c r="U25" i="6" s="1"/>
  <c r="V25" i="6" s="1"/>
  <c r="P44" i="6"/>
  <c r="O142" i="5" s="1"/>
  <c r="P39" i="6"/>
  <c r="J142" i="5" s="1"/>
  <c r="B80" i="1"/>
  <c r="D80" i="1" s="1"/>
  <c r="C15" i="10"/>
  <c r="D27" i="6"/>
  <c r="C14" i="10"/>
  <c r="D5" i="10"/>
  <c r="B12" i="6"/>
  <c r="C12" i="6" s="1"/>
  <c r="F12" i="6" s="1"/>
  <c r="D9" i="10"/>
  <c r="C13" i="10"/>
  <c r="D26" i="6"/>
  <c r="C12" i="10"/>
  <c r="D4" i="10"/>
  <c r="C11" i="10"/>
  <c r="C10" i="10"/>
  <c r="B11" i="6"/>
  <c r="C11" i="6" s="1"/>
  <c r="F11" i="6" s="1"/>
  <c r="C9" i="10"/>
  <c r="C18" i="10"/>
  <c r="D7" i="10"/>
  <c r="B14" i="6"/>
  <c r="C14" i="6" s="1"/>
  <c r="D14" i="10"/>
  <c r="D11" i="10"/>
  <c r="D29" i="6"/>
  <c r="D16" i="10"/>
  <c r="E286" i="11"/>
  <c r="B287" i="11"/>
  <c r="B288" i="11" s="1"/>
  <c r="B28" i="3" s="1"/>
  <c r="AY114" i="9"/>
  <c r="C21" i="3" s="1"/>
  <c r="D18" i="21" s="1"/>
  <c r="H196" i="5"/>
  <c r="E19" i="3"/>
  <c r="F16" i="21" s="1"/>
  <c r="AK114" i="9"/>
  <c r="C17" i="3" s="1"/>
  <c r="D14" i="21" s="1"/>
  <c r="P114" i="9"/>
  <c r="C12" i="3" s="1"/>
  <c r="F196" i="5"/>
  <c r="E14" i="3"/>
  <c r="F11" i="21" s="1"/>
  <c r="W114" i="9"/>
  <c r="C15" i="3" s="1"/>
  <c r="D12" i="21" s="1"/>
  <c r="G196" i="5"/>
  <c r="E18" i="3"/>
  <c r="F15" i="21" s="1"/>
  <c r="E196" i="5"/>
  <c r="E13" i="3"/>
  <c r="F10" i="21" s="1"/>
  <c r="B114" i="9"/>
  <c r="C10" i="3" s="1"/>
  <c r="D7" i="21" s="1"/>
  <c r="AR114" i="9"/>
  <c r="C20" i="3" s="1"/>
  <c r="D17" i="21" s="1"/>
  <c r="AD114" i="9"/>
  <c r="C16" i="3" s="1"/>
  <c r="D19" i="1" s="1"/>
  <c r="D21" i="1" s="1"/>
  <c r="L8" i="1" s="1"/>
  <c r="I114" i="9"/>
  <c r="C11" i="3" s="1"/>
  <c r="D8" i="21" s="1"/>
  <c r="AB42" i="9"/>
  <c r="AB36" i="9"/>
  <c r="C30" i="3" s="1"/>
  <c r="F147" i="5"/>
  <c r="G144" i="5"/>
  <c r="G145" i="5"/>
  <c r="G143" i="5"/>
  <c r="E147" i="5"/>
  <c r="B57" i="1"/>
  <c r="B58" i="1" s="1"/>
  <c r="E59" i="2"/>
  <c r="B15" i="1"/>
  <c r="B16" i="1" l="1"/>
  <c r="D16" i="1"/>
  <c r="J8" i="1" s="1"/>
  <c r="D13" i="21"/>
  <c r="R72" i="5"/>
  <c r="D9" i="21"/>
  <c r="C25" i="21"/>
  <c r="V14" i="3"/>
  <c r="V19" i="3"/>
  <c r="C5" i="10"/>
  <c r="E5" i="10" s="1"/>
  <c r="F5" i="10" s="1"/>
  <c r="I5" i="10" s="1"/>
  <c r="J5" i="10" s="1"/>
  <c r="C20" i="21"/>
  <c r="B10" i="6"/>
  <c r="C10" i="6" s="1"/>
  <c r="F10" i="6" s="1"/>
  <c r="C7" i="10"/>
  <c r="E7" i="10" s="1"/>
  <c r="F7" i="10" s="1"/>
  <c r="I7" i="10" s="1"/>
  <c r="J7" i="10" s="1"/>
  <c r="K26" i="3"/>
  <c r="C23" i="21"/>
  <c r="C8" i="10"/>
  <c r="D25" i="6"/>
  <c r="E25" i="6" s="1"/>
  <c r="O10" i="6"/>
  <c r="P10" i="6" s="1"/>
  <c r="R10" i="6" s="1"/>
  <c r="W18" i="3"/>
  <c r="D13" i="10"/>
  <c r="E13" i="10" s="1"/>
  <c r="F13" i="10" s="1"/>
  <c r="I13" i="10" s="1"/>
  <c r="J13" i="10" s="1"/>
  <c r="O13" i="6"/>
  <c r="P13" i="6" s="1"/>
  <c r="S13" i="6" s="1"/>
  <c r="B13" i="6"/>
  <c r="C13" i="6" s="1"/>
  <c r="F13" i="6" s="1"/>
  <c r="C17" i="10"/>
  <c r="C16" i="10"/>
  <c r="E16" i="10" s="1"/>
  <c r="F16" i="10" s="1"/>
  <c r="I16" i="10" s="1"/>
  <c r="J16" i="10" s="1"/>
  <c r="L26" i="3"/>
  <c r="L20" i="16"/>
  <c r="M20" i="16" s="1"/>
  <c r="O20" i="16" s="1"/>
  <c r="P20" i="16" s="1"/>
  <c r="C6" i="10"/>
  <c r="D28" i="6"/>
  <c r="C50" i="6" s="1"/>
  <c r="D50" i="6" s="1"/>
  <c r="O25" i="3"/>
  <c r="L23" i="16"/>
  <c r="M23" i="16" s="1"/>
  <c r="O23" i="16" s="1"/>
  <c r="P23" i="16" s="1"/>
  <c r="C4" i="10"/>
  <c r="E4" i="10" s="1"/>
  <c r="F4" i="10" s="1"/>
  <c r="I4" i="10" s="1"/>
  <c r="J4" i="10" s="1"/>
  <c r="D10" i="10"/>
  <c r="E10" i="10" s="1"/>
  <c r="F10" i="10" s="1"/>
  <c r="I10" i="10" s="1"/>
  <c r="J10" i="10" s="1"/>
  <c r="K23" i="3"/>
  <c r="O23" i="3" s="1"/>
  <c r="D6" i="10"/>
  <c r="AW32" i="9"/>
  <c r="BD32" i="9" s="1"/>
  <c r="AI36" i="9"/>
  <c r="C31" i="3" s="1"/>
  <c r="O24" i="3"/>
  <c r="O27" i="3"/>
  <c r="W13" i="3"/>
  <c r="V13" i="3"/>
  <c r="S12" i="6"/>
  <c r="B143" i="5"/>
  <c r="B147" i="5" s="1"/>
  <c r="B146" i="5"/>
  <c r="B145" i="5"/>
  <c r="M146" i="5"/>
  <c r="M145" i="5"/>
  <c r="D145" i="5"/>
  <c r="M22" i="16"/>
  <c r="O22" i="16" s="1"/>
  <c r="P22" i="16" s="1"/>
  <c r="M16" i="16"/>
  <c r="O16" i="16" s="1"/>
  <c r="P16" i="16" s="1"/>
  <c r="U16" i="16"/>
  <c r="V16" i="16"/>
  <c r="M12" i="16"/>
  <c r="O12" i="16" s="1"/>
  <c r="P12" i="16" s="1"/>
  <c r="V12" i="16"/>
  <c r="U12" i="16"/>
  <c r="U25" i="16"/>
  <c r="V25" i="16"/>
  <c r="M13" i="16"/>
  <c r="O13" i="16" s="1"/>
  <c r="P13" i="16" s="1"/>
  <c r="U13" i="16"/>
  <c r="V13" i="16"/>
  <c r="M9" i="16"/>
  <c r="O9" i="16" s="1"/>
  <c r="P9" i="16" s="1"/>
  <c r="V9" i="16"/>
  <c r="U9" i="16"/>
  <c r="V22" i="16"/>
  <c r="U22" i="16"/>
  <c r="M17" i="16"/>
  <c r="O17" i="16" s="1"/>
  <c r="P17" i="16" s="1"/>
  <c r="V17" i="16"/>
  <c r="U17" i="16"/>
  <c r="M14" i="16"/>
  <c r="O14" i="16" s="1"/>
  <c r="P14" i="16" s="1"/>
  <c r="V14" i="16"/>
  <c r="U14" i="16"/>
  <c r="M10" i="16"/>
  <c r="O10" i="16" s="1"/>
  <c r="P10" i="16" s="1"/>
  <c r="U10" i="16"/>
  <c r="V10" i="16"/>
  <c r="V23" i="16"/>
  <c r="U23" i="16"/>
  <c r="M18" i="16"/>
  <c r="O18" i="16" s="1"/>
  <c r="P18" i="16" s="1"/>
  <c r="U18" i="16"/>
  <c r="V18" i="16"/>
  <c r="M7" i="16"/>
  <c r="O7" i="16" s="1"/>
  <c r="P7" i="16" s="1"/>
  <c r="U7" i="16"/>
  <c r="V7" i="16"/>
  <c r="V21" i="16"/>
  <c r="U21" i="16"/>
  <c r="M11" i="16"/>
  <c r="O11" i="16" s="1"/>
  <c r="P11" i="16" s="1"/>
  <c r="U11" i="16"/>
  <c r="V11" i="16"/>
  <c r="M15" i="16"/>
  <c r="O15" i="16" s="1"/>
  <c r="P15" i="16" s="1"/>
  <c r="V15" i="16"/>
  <c r="U15" i="16"/>
  <c r="M8" i="16"/>
  <c r="O8" i="16" s="1"/>
  <c r="P8" i="16" s="1"/>
  <c r="V8" i="16"/>
  <c r="U8" i="16"/>
  <c r="U20" i="16"/>
  <c r="V20" i="16"/>
  <c r="U24" i="16"/>
  <c r="V24" i="16"/>
  <c r="M21" i="16"/>
  <c r="O21" i="16" s="1"/>
  <c r="P21" i="16" s="1"/>
  <c r="M24" i="16"/>
  <c r="O24" i="16" s="1"/>
  <c r="P24" i="16" s="1"/>
  <c r="M144" i="5"/>
  <c r="M147" i="5" s="1"/>
  <c r="D143" i="5"/>
  <c r="D144" i="5"/>
  <c r="R14" i="6"/>
  <c r="O15" i="6"/>
  <c r="P15" i="6" s="1"/>
  <c r="R15" i="6" s="1"/>
  <c r="L25" i="16"/>
  <c r="M25" i="16" s="1"/>
  <c r="O25" i="16" s="1"/>
  <c r="P25" i="16" s="1"/>
  <c r="F27" i="6"/>
  <c r="H27" i="6" s="1"/>
  <c r="I27" i="6" s="1"/>
  <c r="C65" i="6"/>
  <c r="E65" i="6" s="1"/>
  <c r="F65" i="6" s="1"/>
  <c r="H65" i="6" s="1"/>
  <c r="I65" i="6" s="1"/>
  <c r="C49" i="6"/>
  <c r="D49" i="6" s="1"/>
  <c r="C48" i="6"/>
  <c r="D48" i="6" s="1"/>
  <c r="C64" i="6"/>
  <c r="E64" i="6" s="1"/>
  <c r="F64" i="6" s="1"/>
  <c r="H64" i="6" s="1"/>
  <c r="I64" i="6" s="1"/>
  <c r="Q43" i="6"/>
  <c r="R43" i="6" s="1"/>
  <c r="C51" i="6"/>
  <c r="D51" i="6" s="1"/>
  <c r="C67" i="6"/>
  <c r="E67" i="6" s="1"/>
  <c r="F67" i="6" s="1"/>
  <c r="H67" i="6" s="1"/>
  <c r="I67" i="6" s="1"/>
  <c r="L28" i="3"/>
  <c r="K28" i="3"/>
  <c r="K17" i="3"/>
  <c r="L17" i="3"/>
  <c r="L11" i="3"/>
  <c r="K11" i="3"/>
  <c r="K15" i="3"/>
  <c r="L15" i="3"/>
  <c r="K16" i="3"/>
  <c r="L16" i="3"/>
  <c r="L20" i="3"/>
  <c r="K20" i="3"/>
  <c r="L21" i="3"/>
  <c r="K21" i="3"/>
  <c r="L10" i="3"/>
  <c r="K10" i="3"/>
  <c r="K12" i="3"/>
  <c r="L12" i="3"/>
  <c r="J143" i="5"/>
  <c r="J144" i="5"/>
  <c r="J146" i="5"/>
  <c r="J145" i="5"/>
  <c r="O146" i="5"/>
  <c r="O145" i="5"/>
  <c r="O144" i="5"/>
  <c r="O143" i="5"/>
  <c r="E27" i="6"/>
  <c r="Q41" i="6"/>
  <c r="E26" i="6"/>
  <c r="Q40" i="6"/>
  <c r="R11" i="6"/>
  <c r="S11" i="6"/>
  <c r="K145" i="5"/>
  <c r="K146" i="5"/>
  <c r="K144" i="5"/>
  <c r="K143" i="5"/>
  <c r="E12" i="6"/>
  <c r="G147" i="5"/>
  <c r="E11" i="6"/>
  <c r="E29" i="6"/>
  <c r="F29" i="6"/>
  <c r="H29" i="6" s="1"/>
  <c r="I29" i="6" s="1"/>
  <c r="E14" i="10"/>
  <c r="F14" i="10" s="1"/>
  <c r="I14" i="10" s="1"/>
  <c r="J14" i="10" s="1"/>
  <c r="E9" i="10"/>
  <c r="F9" i="10" s="1"/>
  <c r="I9" i="10" s="1"/>
  <c r="J9" i="10" s="1"/>
  <c r="F14" i="6"/>
  <c r="E14" i="6"/>
  <c r="B15" i="6"/>
  <c r="C15" i="6" s="1"/>
  <c r="D15" i="10"/>
  <c r="E15" i="10" s="1"/>
  <c r="F15" i="10" s="1"/>
  <c r="I15" i="10" s="1"/>
  <c r="J15" i="10" s="1"/>
  <c r="D8" i="10"/>
  <c r="D12" i="10"/>
  <c r="E12" i="10" s="1"/>
  <c r="F12" i="10" s="1"/>
  <c r="I12" i="10" s="1"/>
  <c r="J12" i="10" s="1"/>
  <c r="D18" i="10"/>
  <c r="E18" i="10" s="1"/>
  <c r="F18" i="10" s="1"/>
  <c r="I18" i="10" s="1"/>
  <c r="J18" i="10" s="1"/>
  <c r="D30" i="6"/>
  <c r="D17" i="10"/>
  <c r="E11" i="10"/>
  <c r="F11" i="10" s="1"/>
  <c r="I11" i="10" s="1"/>
  <c r="J11" i="10" s="1"/>
  <c r="F26" i="6"/>
  <c r="H26" i="6" s="1"/>
  <c r="I26" i="6" s="1"/>
  <c r="AP36" i="9"/>
  <c r="C32" i="3" s="1"/>
  <c r="F199" i="5"/>
  <c r="F197" i="5"/>
  <c r="F198" i="5"/>
  <c r="E197" i="5"/>
  <c r="E199" i="5"/>
  <c r="E198" i="5"/>
  <c r="H199" i="5"/>
  <c r="H197" i="5"/>
  <c r="H198" i="5"/>
  <c r="G199" i="5"/>
  <c r="G197" i="5"/>
  <c r="G198" i="5"/>
  <c r="C146" i="5"/>
  <c r="C143" i="5"/>
  <c r="C144" i="5"/>
  <c r="E28" i="6" l="1"/>
  <c r="F28" i="6"/>
  <c r="H28" i="6" s="1"/>
  <c r="I28" i="6" s="1"/>
  <c r="Q42" i="6"/>
  <c r="R42" i="6" s="1"/>
  <c r="R74" i="5"/>
  <c r="R73" i="5"/>
  <c r="S10" i="6"/>
  <c r="C47" i="6"/>
  <c r="D47" i="6" s="1"/>
  <c r="AW36" i="9"/>
  <c r="C33" i="3" s="1"/>
  <c r="O26" i="3"/>
  <c r="E10" i="6"/>
  <c r="E8" i="10"/>
  <c r="F8" i="10" s="1"/>
  <c r="I8" i="10" s="1"/>
  <c r="J8" i="10" s="1"/>
  <c r="C63" i="6"/>
  <c r="E63" i="6" s="1"/>
  <c r="F63" i="6" s="1"/>
  <c r="H63" i="6" s="1"/>
  <c r="I63" i="6" s="1"/>
  <c r="Q39" i="6"/>
  <c r="S39" i="6" s="1"/>
  <c r="U39" i="6" s="1"/>
  <c r="V39" i="6" s="1"/>
  <c r="F25" i="6"/>
  <c r="H25" i="6" s="1"/>
  <c r="I25" i="6" s="1"/>
  <c r="E13" i="6"/>
  <c r="R13" i="6"/>
  <c r="E17" i="10"/>
  <c r="F17" i="10" s="1"/>
  <c r="I17" i="10" s="1"/>
  <c r="J17" i="10" s="1"/>
  <c r="C66" i="6"/>
  <c r="E66" i="6" s="1"/>
  <c r="F66" i="6" s="1"/>
  <c r="H66" i="6" s="1"/>
  <c r="I66" i="6" s="1"/>
  <c r="E6" i="10"/>
  <c r="F6" i="10" s="1"/>
  <c r="I6" i="10" s="1"/>
  <c r="J6" i="10" s="1"/>
  <c r="BD36" i="9"/>
  <c r="C34" i="3" s="1"/>
  <c r="O28" i="3"/>
  <c r="D147" i="5"/>
  <c r="K147" i="5"/>
  <c r="O147" i="5"/>
  <c r="S15" i="6"/>
  <c r="S43" i="6"/>
  <c r="U43" i="6" s="1"/>
  <c r="V43" i="6" s="1"/>
  <c r="J147" i="5"/>
  <c r="Q44" i="6"/>
  <c r="S44" i="6" s="1"/>
  <c r="U44" i="6" s="1"/>
  <c r="V44" i="6" s="1"/>
  <c r="C68" i="6"/>
  <c r="E68" i="6" s="1"/>
  <c r="F68" i="6" s="1"/>
  <c r="H68" i="6" s="1"/>
  <c r="I68" i="6" s="1"/>
  <c r="C52" i="6"/>
  <c r="D52" i="6" s="1"/>
  <c r="R41" i="6"/>
  <c r="S41" i="6"/>
  <c r="U41" i="6" s="1"/>
  <c r="V41" i="6" s="1"/>
  <c r="S40" i="6"/>
  <c r="U40" i="6" s="1"/>
  <c r="V40" i="6" s="1"/>
  <c r="R40" i="6"/>
  <c r="F15" i="6"/>
  <c r="E15" i="6"/>
  <c r="E30" i="6"/>
  <c r="F30" i="6"/>
  <c r="H30" i="6" s="1"/>
  <c r="I30" i="6" s="1"/>
  <c r="G200" i="5"/>
  <c r="H200" i="5"/>
  <c r="E200" i="5"/>
  <c r="F200" i="5"/>
  <c r="C147" i="5"/>
  <c r="S42" i="6" l="1"/>
  <c r="U42" i="6" s="1"/>
  <c r="V42" i="6" s="1"/>
  <c r="R75" i="5"/>
  <c r="R76" i="5"/>
  <c r="R39" i="6"/>
  <c r="R44" i="6"/>
  <c r="B8" i="1"/>
  <c r="E9" i="1" s="1"/>
  <c r="D10" i="1" s="1"/>
  <c r="H8" i="1" s="1"/>
  <c r="I10" i="1" s="1"/>
  <c r="I11" i="1" s="1"/>
  <c r="I12" i="1" s="1"/>
  <c r="B7" i="1"/>
  <c r="D56" i="2"/>
  <c r="D55" i="2"/>
  <c r="D54" i="2"/>
  <c r="D53" i="2"/>
  <c r="S57" i="2" s="1"/>
  <c r="D52" i="2"/>
  <c r="D48" i="2"/>
  <c r="C48" i="2"/>
  <c r="D47" i="2"/>
  <c r="C47" i="2"/>
  <c r="D45" i="2"/>
  <c r="D44" i="2"/>
  <c r="D42" i="2"/>
  <c r="D40" i="2"/>
  <c r="D37" i="2"/>
  <c r="D36" i="2"/>
  <c r="D35" i="2"/>
  <c r="D34" i="2"/>
  <c r="D21" i="2"/>
  <c r="D20" i="2"/>
  <c r="D19" i="2"/>
  <c r="D17" i="2"/>
  <c r="D16" i="2"/>
  <c r="D15" i="2"/>
  <c r="D14" i="2"/>
  <c r="C45" i="3"/>
  <c r="D45" i="3"/>
  <c r="H39" i="3"/>
  <c r="H38" i="3"/>
  <c r="H37" i="3"/>
  <c r="H36" i="3"/>
  <c r="H34" i="3"/>
  <c r="H33" i="3"/>
  <c r="H32" i="3"/>
  <c r="H31" i="3"/>
  <c r="H30" i="3"/>
  <c r="H23" i="3"/>
  <c r="D23" i="3" s="1"/>
  <c r="H21" i="3"/>
  <c r="H20" i="3"/>
  <c r="H17" i="3"/>
  <c r="H16" i="3"/>
  <c r="H15" i="3"/>
  <c r="H12" i="3"/>
  <c r="H11" i="3"/>
  <c r="H10" i="3"/>
  <c r="D10" i="3" s="1"/>
  <c r="C42" i="3"/>
  <c r="C41" i="3"/>
  <c r="H24" i="3"/>
  <c r="D24" i="3" s="1"/>
  <c r="H25" i="3"/>
  <c r="D25" i="3" s="1"/>
  <c r="H26" i="3"/>
  <c r="D26" i="3" s="1"/>
  <c r="H27" i="3"/>
  <c r="D27" i="3" s="1"/>
  <c r="H28" i="3"/>
  <c r="D28" i="3" s="1"/>
  <c r="E10" i="3"/>
  <c r="F7" i="21" s="1"/>
  <c r="E11" i="3"/>
  <c r="F8" i="21" s="1"/>
  <c r="E12" i="3"/>
  <c r="F9" i="21" s="1"/>
  <c r="E15" i="3"/>
  <c r="F12" i="21" s="1"/>
  <c r="E16" i="3"/>
  <c r="F13" i="21" s="1"/>
  <c r="E17" i="3"/>
  <c r="F14" i="21" s="1"/>
  <c r="E20" i="3"/>
  <c r="F17" i="21" s="1"/>
  <c r="E21" i="3"/>
  <c r="F18" i="21" s="1"/>
  <c r="E23" i="3"/>
  <c r="F20" i="21" s="1"/>
  <c r="E24" i="3"/>
  <c r="F21" i="21" s="1"/>
  <c r="E25" i="3"/>
  <c r="F22" i="21" s="1"/>
  <c r="E26" i="3"/>
  <c r="F23" i="21" s="1"/>
  <c r="E27" i="3"/>
  <c r="F24" i="21" s="1"/>
  <c r="E28" i="3"/>
  <c r="F25" i="21" s="1"/>
  <c r="E30" i="3"/>
  <c r="E31" i="3"/>
  <c r="E32" i="3"/>
  <c r="E33" i="3"/>
  <c r="E34" i="3"/>
  <c r="E36" i="3"/>
  <c r="E37" i="3"/>
  <c r="E38" i="3"/>
  <c r="E39" i="3"/>
  <c r="B10" i="1" l="1"/>
  <c r="R23" i="3"/>
  <c r="S23" i="3" s="1" a="1"/>
  <c r="S23" i="3" s="1"/>
  <c r="E20" i="21"/>
  <c r="R28" i="3"/>
  <c r="S28" i="3" s="1" a="1"/>
  <c r="S28" i="3" s="1"/>
  <c r="E25" i="21"/>
  <c r="R27" i="3"/>
  <c r="S27" i="3" s="1" a="1"/>
  <c r="S27" i="3" s="1"/>
  <c r="E24" i="21"/>
  <c r="R26" i="3"/>
  <c r="S26" i="3" s="1" a="1"/>
  <c r="S26" i="3" s="1"/>
  <c r="E23" i="21"/>
  <c r="R25" i="3"/>
  <c r="S25" i="3" s="1" a="1"/>
  <c r="S25" i="3" s="1"/>
  <c r="E22" i="21"/>
  <c r="R24" i="3"/>
  <c r="S24" i="3" s="1" a="1"/>
  <c r="S24" i="3" s="1"/>
  <c r="E21" i="21"/>
  <c r="E42" i="3"/>
  <c r="H42" i="3" s="1"/>
  <c r="E41" i="3"/>
  <c r="H41" i="3" s="1"/>
  <c r="R10" i="3"/>
  <c r="S10" i="3" s="1" a="1"/>
  <c r="S10" i="3" s="1"/>
  <c r="E7" i="21"/>
  <c r="E52" i="2"/>
  <c r="S54" i="2"/>
  <c r="S52" i="2"/>
  <c r="S56" i="2"/>
  <c r="S51" i="2"/>
  <c r="S55" i="2"/>
  <c r="S53" i="2"/>
  <c r="E54" i="2"/>
  <c r="E55" i="2"/>
  <c r="E56" i="2"/>
  <c r="D17" i="3"/>
  <c r="D34" i="3"/>
  <c r="D21" i="3"/>
  <c r="D37" i="3"/>
  <c r="D38" i="3"/>
  <c r="D11" i="3"/>
  <c r="D30" i="3"/>
  <c r="D39" i="3"/>
  <c r="D36" i="3"/>
  <c r="D12" i="3"/>
  <c r="D31" i="3"/>
  <c r="D15" i="3"/>
  <c r="D32" i="3"/>
  <c r="D20" i="3"/>
  <c r="D16" i="3"/>
  <c r="D33" i="3"/>
  <c r="D57" i="2"/>
  <c r="E57" i="2" s="1"/>
  <c r="E53" i="2"/>
  <c r="C47" i="3"/>
  <c r="R89" i="5" l="1"/>
  <c r="R88" i="5"/>
  <c r="R21" i="3"/>
  <c r="S21" i="3" s="1" a="1"/>
  <c r="S21" i="3" s="1"/>
  <c r="E18" i="21"/>
  <c r="R12" i="3"/>
  <c r="S12" i="3" s="1" a="1"/>
  <c r="S12" i="3" s="1"/>
  <c r="E9" i="21"/>
  <c r="R17" i="3"/>
  <c r="S17" i="3" s="1" a="1"/>
  <c r="S17" i="3" s="1"/>
  <c r="E14" i="21"/>
  <c r="R15" i="3"/>
  <c r="S15" i="3" s="1" a="1"/>
  <c r="S15" i="3" s="1"/>
  <c r="E12" i="21"/>
  <c r="R16" i="3"/>
  <c r="S16" i="3" s="1" a="1"/>
  <c r="S16" i="3" s="1"/>
  <c r="E13" i="21"/>
  <c r="R20" i="3"/>
  <c r="S20" i="3" s="1" a="1"/>
  <c r="S20" i="3" s="1"/>
  <c r="E17" i="21"/>
  <c r="R11" i="3"/>
  <c r="S11" i="3" s="1" a="1"/>
  <c r="S11" i="3" s="1"/>
  <c r="E8" i="21"/>
  <c r="J57" i="2"/>
  <c r="Q61" i="2"/>
  <c r="Q60" i="2"/>
  <c r="Q59" i="2"/>
  <c r="D48" i="3"/>
  <c r="D43" i="3" s="1"/>
  <c r="C48" i="3"/>
  <c r="C43" i="3" s="1"/>
  <c r="E43" i="3" l="1"/>
  <c r="C49" i="3"/>
  <c r="C51" i="3" s="1"/>
  <c r="R90" i="5" l="1"/>
  <c r="H43" i="3"/>
  <c r="B51" i="3"/>
  <c r="E51" i="3" s="1"/>
  <c r="H51" i="3" s="1"/>
  <c r="R91" i="5" l="1"/>
  <c r="F30" i="15" l="1"/>
  <c r="N9" i="15" s="1"/>
  <c r="R9" i="15" s="1"/>
  <c r="F8" i="8" s="1"/>
  <c r="J15" i="8" l="1"/>
  <c r="B9" i="2" s="1"/>
  <c r="J14" i="8"/>
  <c r="J13" i="8"/>
  <c r="E17" i="8"/>
  <c r="B6" i="2" s="1"/>
  <c r="E14" i="8"/>
  <c r="B3" i="2" s="1"/>
  <c r="E15" i="8"/>
  <c r="B4" i="2" s="1"/>
  <c r="E13" i="8"/>
  <c r="E16" i="8"/>
  <c r="B5" i="2" s="1"/>
  <c r="B2" i="2" l="1"/>
  <c r="B6" i="3"/>
  <c r="C3" i="21" s="1"/>
  <c r="C4" i="19"/>
  <c r="F4" i="2"/>
  <c r="E4" i="2"/>
  <c r="C4" i="2"/>
  <c r="C5" i="2"/>
  <c r="E5" i="2"/>
  <c r="F5" i="2"/>
  <c r="B7" i="2"/>
  <c r="B7" i="3"/>
  <c r="C4" i="21" s="1"/>
  <c r="C3" i="2"/>
  <c r="F3" i="2"/>
  <c r="E3" i="2"/>
  <c r="B8" i="3"/>
  <c r="C5" i="21" s="1"/>
  <c r="B8" i="2"/>
  <c r="E6" i="2"/>
  <c r="F6" i="2"/>
  <c r="C6" i="2"/>
  <c r="C9" i="2"/>
  <c r="F9" i="2"/>
  <c r="E9" i="2"/>
  <c r="F36" i="5" l="1"/>
  <c r="F103" i="5"/>
  <c r="D180" i="5"/>
  <c r="F180" i="5" s="1"/>
  <c r="C8" i="5"/>
  <c r="C8" i="3"/>
  <c r="E8" i="3"/>
  <c r="F5" i="21" s="1"/>
  <c r="F8" i="3"/>
  <c r="G5" i="21" s="1"/>
  <c r="C7" i="5"/>
  <c r="F37" i="5" s="1"/>
  <c r="F38" i="5" s="1"/>
  <c r="F8" i="2"/>
  <c r="D8" i="2" s="1"/>
  <c r="C8" i="2"/>
  <c r="E8" i="2"/>
  <c r="E66" i="2"/>
  <c r="E69" i="2"/>
  <c r="E74" i="2"/>
  <c r="E78" i="2"/>
  <c r="E67" i="2"/>
  <c r="E71" i="2"/>
  <c r="E75" i="2"/>
  <c r="E64" i="2"/>
  <c r="E49" i="2"/>
  <c r="D9" i="2"/>
  <c r="D3" i="2"/>
  <c r="E82" i="2"/>
  <c r="E72" i="2"/>
  <c r="E68" i="2"/>
  <c r="E65" i="2"/>
  <c r="E76" i="2"/>
  <c r="E83" i="2"/>
  <c r="D4" i="2"/>
  <c r="E77" i="2"/>
  <c r="E70" i="2"/>
  <c r="E73" i="2"/>
  <c r="B103" i="5"/>
  <c r="D179" i="5"/>
  <c r="F179" i="5" s="1"/>
  <c r="B36" i="5"/>
  <c r="E7" i="3"/>
  <c r="F4" i="21" s="1"/>
  <c r="F7" i="3"/>
  <c r="G4" i="21" s="1"/>
  <c r="C6" i="5"/>
  <c r="C7" i="3"/>
  <c r="C5" i="5"/>
  <c r="B37" i="5" s="1"/>
  <c r="B38" i="5" s="1"/>
  <c r="D6" i="2"/>
  <c r="E85" i="2"/>
  <c r="C7" i="2"/>
  <c r="E7" i="2"/>
  <c r="F7" i="2"/>
  <c r="D7" i="2" s="1"/>
  <c r="D178" i="5"/>
  <c r="F178" i="5" s="1"/>
  <c r="D103" i="5"/>
  <c r="E103" i="5"/>
  <c r="E36" i="5"/>
  <c r="G103" i="5"/>
  <c r="G36" i="5"/>
  <c r="C103" i="5"/>
  <c r="D36" i="5"/>
  <c r="C36" i="5"/>
  <c r="C3" i="5"/>
  <c r="E6" i="3"/>
  <c r="F3" i="21" s="1"/>
  <c r="F6" i="3"/>
  <c r="G3" i="21" s="1"/>
  <c r="C6" i="3"/>
  <c r="C4" i="5"/>
  <c r="D5" i="2"/>
  <c r="E84" i="2"/>
  <c r="F2" i="2"/>
  <c r="C2" i="2"/>
  <c r="E2" i="2"/>
  <c r="D4" i="21" l="1"/>
  <c r="I100" i="5"/>
  <c r="D5" i="21"/>
  <c r="I106" i="5"/>
  <c r="D3" i="21"/>
  <c r="I102" i="5"/>
  <c r="E104" i="5"/>
  <c r="E105" i="5"/>
  <c r="E106" i="5"/>
  <c r="E107" i="5"/>
  <c r="B39" i="5"/>
  <c r="B40" i="5"/>
  <c r="F40" i="5"/>
  <c r="F39" i="5"/>
  <c r="F10" i="3"/>
  <c r="G7" i="21" s="1"/>
  <c r="F11" i="3"/>
  <c r="G8" i="21" s="1"/>
  <c r="E34" i="2"/>
  <c r="E35" i="2"/>
  <c r="E36" i="2"/>
  <c r="X19" i="3"/>
  <c r="N19" i="3" s="1"/>
  <c r="Y18" i="3"/>
  <c r="O18" i="3" s="1"/>
  <c r="D8" i="3"/>
  <c r="E5" i="21" s="1"/>
  <c r="X18" i="3"/>
  <c r="N18" i="3" s="1"/>
  <c r="E48" i="2"/>
  <c r="G20" i="3"/>
  <c r="G27" i="3"/>
  <c r="Y19" i="3"/>
  <c r="O19" i="3" s="1"/>
  <c r="G21" i="3"/>
  <c r="C37" i="5"/>
  <c r="C38" i="5" s="1"/>
  <c r="E37" i="5"/>
  <c r="E38" i="5" s="1"/>
  <c r="D37" i="5"/>
  <c r="D38" i="5" s="1"/>
  <c r="G37" i="5"/>
  <c r="G38" i="5" s="1"/>
  <c r="E81" i="2"/>
  <c r="D2" i="2"/>
  <c r="E89" i="2"/>
  <c r="E88" i="2"/>
  <c r="I178" i="5"/>
  <c r="H178" i="5"/>
  <c r="G182" i="5"/>
  <c r="G178" i="5"/>
  <c r="F182" i="5"/>
  <c r="D7" i="3"/>
  <c r="E4" i="21" s="1"/>
  <c r="E47" i="2"/>
  <c r="G11" i="3"/>
  <c r="G10" i="3"/>
  <c r="G23" i="3"/>
  <c r="F20" i="3"/>
  <c r="G17" i="21" s="1"/>
  <c r="F21" i="3"/>
  <c r="G18" i="21" s="1"/>
  <c r="E42" i="2"/>
  <c r="E40" i="2"/>
  <c r="E44" i="2"/>
  <c r="D106" i="5"/>
  <c r="D104" i="5"/>
  <c r="D105" i="5"/>
  <c r="D107" i="5"/>
  <c r="G184" i="5"/>
  <c r="H180" i="5"/>
  <c r="F184" i="5"/>
  <c r="I180" i="5"/>
  <c r="G180" i="5"/>
  <c r="C104" i="5"/>
  <c r="C105" i="5"/>
  <c r="C107" i="5"/>
  <c r="C106" i="5"/>
  <c r="G106" i="5"/>
  <c r="G107" i="5"/>
  <c r="G105" i="5"/>
  <c r="G104" i="5"/>
  <c r="F183" i="5"/>
  <c r="G179" i="5"/>
  <c r="G183" i="5"/>
  <c r="H179" i="5"/>
  <c r="I179" i="5"/>
  <c r="F107" i="5"/>
  <c r="F104" i="5"/>
  <c r="F105" i="5"/>
  <c r="F106" i="5"/>
  <c r="A73" i="5"/>
  <c r="E14" i="2"/>
  <c r="F31" i="3"/>
  <c r="F34" i="3"/>
  <c r="F33" i="3"/>
  <c r="F36" i="3"/>
  <c r="E37" i="2"/>
  <c r="F30" i="3"/>
  <c r="F16" i="3"/>
  <c r="G13" i="21" s="1"/>
  <c r="E21" i="2"/>
  <c r="F42" i="3"/>
  <c r="F17" i="3"/>
  <c r="G14" i="21" s="1"/>
  <c r="F41" i="3"/>
  <c r="E20" i="2"/>
  <c r="F37" i="3"/>
  <c r="F32" i="3"/>
  <c r="F12" i="3"/>
  <c r="G9" i="21" s="1"/>
  <c r="E17" i="2"/>
  <c r="F15" i="3"/>
  <c r="G12" i="21" s="1"/>
  <c r="E19" i="2"/>
  <c r="E16" i="2"/>
  <c r="E45" i="2"/>
  <c r="F39" i="3"/>
  <c r="E15" i="2"/>
  <c r="F38" i="3"/>
  <c r="F43" i="3"/>
  <c r="F51" i="3"/>
  <c r="G36" i="3"/>
  <c r="N36" i="3" s="1"/>
  <c r="G32" i="3"/>
  <c r="N32" i="3" s="1"/>
  <c r="C64" i="19" s="1"/>
  <c r="G25" i="3"/>
  <c r="G37" i="3"/>
  <c r="N37" i="3" s="1"/>
  <c r="C15" i="19" s="1"/>
  <c r="G39" i="3"/>
  <c r="N39" i="3" s="1"/>
  <c r="G28" i="3"/>
  <c r="B3" i="1" s="1"/>
  <c r="G24" i="3"/>
  <c r="G12" i="3"/>
  <c r="G26" i="3"/>
  <c r="G17" i="3"/>
  <c r="G38" i="3"/>
  <c r="N38" i="3" s="1"/>
  <c r="G41" i="3"/>
  <c r="N41" i="3" s="1"/>
  <c r="X13" i="3"/>
  <c r="N13" i="3" s="1"/>
  <c r="G42" i="3"/>
  <c r="N42" i="3" s="1"/>
  <c r="G31" i="3"/>
  <c r="N31" i="3" s="1"/>
  <c r="C63" i="19" s="1"/>
  <c r="G16" i="3"/>
  <c r="Y13" i="3"/>
  <c r="O13" i="3" s="1"/>
  <c r="G34" i="3"/>
  <c r="N34" i="3" s="1"/>
  <c r="C65" i="19" s="1"/>
  <c r="G43" i="3"/>
  <c r="N43" i="3" s="1"/>
  <c r="D6" i="3"/>
  <c r="E3" i="21" s="1"/>
  <c r="Y14" i="3"/>
  <c r="O14" i="3" s="1"/>
  <c r="G51" i="3"/>
  <c r="N51" i="3" s="1"/>
  <c r="G15" i="3"/>
  <c r="G33" i="3"/>
  <c r="N33" i="3" s="1"/>
  <c r="C19" i="19" s="1"/>
  <c r="X14" i="3"/>
  <c r="N14" i="3" s="1"/>
  <c r="G30" i="3"/>
  <c r="N30" i="3" s="1"/>
  <c r="B107" i="5"/>
  <c r="B106" i="5"/>
  <c r="B105" i="5"/>
  <c r="B104" i="5"/>
  <c r="I103" i="5" l="1"/>
  <c r="L102" i="5"/>
  <c r="K102" i="5"/>
  <c r="J102" i="5"/>
  <c r="N102" i="5" s="1"/>
  <c r="J106" i="5"/>
  <c r="N106" i="5" s="1"/>
  <c r="I107" i="5"/>
  <c r="L106" i="5"/>
  <c r="K106" i="5"/>
  <c r="I101" i="5"/>
  <c r="J100" i="5"/>
  <c r="N100" i="5" s="1"/>
  <c r="L100" i="5"/>
  <c r="K100" i="5"/>
  <c r="C20" i="19"/>
  <c r="C24" i="19"/>
  <c r="C62" i="19"/>
  <c r="N25" i="3"/>
  <c r="H22" i="21"/>
  <c r="N27" i="3"/>
  <c r="H24" i="21"/>
  <c r="N23" i="3"/>
  <c r="H20" i="21"/>
  <c r="N28" i="3"/>
  <c r="C5" i="19" s="1"/>
  <c r="H25" i="21"/>
  <c r="N26" i="3"/>
  <c r="H23" i="21"/>
  <c r="N24" i="3"/>
  <c r="H21" i="21"/>
  <c r="N10" i="3"/>
  <c r="I8" i="19" s="1"/>
  <c r="H7" i="21"/>
  <c r="N11" i="3"/>
  <c r="H8" i="21"/>
  <c r="N21" i="3"/>
  <c r="H18" i="21"/>
  <c r="P14" i="3"/>
  <c r="N17" i="3"/>
  <c r="H14" i="21"/>
  <c r="N20" i="3"/>
  <c r="H17" i="21"/>
  <c r="N15" i="3"/>
  <c r="H12" i="21"/>
  <c r="N16" i="3"/>
  <c r="H13" i="21"/>
  <c r="N12" i="3"/>
  <c r="H9" i="21"/>
  <c r="G108" i="5"/>
  <c r="P18" i="3"/>
  <c r="C108" i="5"/>
  <c r="D108" i="5"/>
  <c r="P19" i="3"/>
  <c r="B108" i="5"/>
  <c r="I73" i="5"/>
  <c r="A74" i="5"/>
  <c r="D73" i="5"/>
  <c r="C73" i="5"/>
  <c r="B73" i="5"/>
  <c r="F73" i="5" s="1"/>
  <c r="F190" i="5"/>
  <c r="E190" i="5"/>
  <c r="E40" i="5"/>
  <c r="E39" i="5"/>
  <c r="G192" i="5"/>
  <c r="H192" i="5"/>
  <c r="C40" i="5"/>
  <c r="C39" i="5"/>
  <c r="F108" i="5"/>
  <c r="G191" i="5"/>
  <c r="H191" i="5"/>
  <c r="F191" i="5"/>
  <c r="E191" i="5"/>
  <c r="G193" i="5"/>
  <c r="H193" i="5"/>
  <c r="P13" i="3"/>
  <c r="H190" i="5"/>
  <c r="G190" i="5"/>
  <c r="F193" i="5"/>
  <c r="E193" i="5"/>
  <c r="H194" i="5"/>
  <c r="G194" i="5"/>
  <c r="F192" i="5"/>
  <c r="E192" i="5"/>
  <c r="G40" i="5"/>
  <c r="G39" i="5"/>
  <c r="F194" i="5"/>
  <c r="E194" i="5"/>
  <c r="D40" i="5"/>
  <c r="D39" i="5"/>
  <c r="E108" i="5"/>
  <c r="L107" i="5" l="1"/>
  <c r="K107" i="5"/>
  <c r="J107" i="5"/>
  <c r="N107" i="5" s="1"/>
  <c r="K101" i="5"/>
  <c r="J101" i="5"/>
  <c r="N101" i="5" s="1"/>
  <c r="L101" i="5"/>
  <c r="I104" i="5"/>
  <c r="L103" i="5"/>
  <c r="K103" i="5"/>
  <c r="J103" i="5"/>
  <c r="N103" i="5" s="1"/>
  <c r="C23" i="19"/>
  <c r="C14" i="19"/>
  <c r="C8" i="19"/>
  <c r="C9" i="19"/>
  <c r="C18" i="19"/>
  <c r="E195" i="5"/>
  <c r="F195" i="5"/>
  <c r="A75" i="5"/>
  <c r="D74" i="5"/>
  <c r="B74" i="5"/>
  <c r="F74" i="5" s="1"/>
  <c r="C74" i="5"/>
  <c r="H195" i="5"/>
  <c r="I74" i="5"/>
  <c r="K73" i="5"/>
  <c r="L73" i="5"/>
  <c r="J73" i="5"/>
  <c r="N73" i="5" s="1"/>
  <c r="G195" i="5"/>
  <c r="J104" i="5" l="1"/>
  <c r="N104" i="5" s="1"/>
  <c r="K104" i="5"/>
  <c r="I105" i="5"/>
  <c r="L104" i="5"/>
  <c r="L74" i="5"/>
  <c r="J74" i="5"/>
  <c r="N74" i="5" s="1"/>
  <c r="I75" i="5"/>
  <c r="K74" i="5"/>
  <c r="D75" i="5"/>
  <c r="B75" i="5"/>
  <c r="F75" i="5" s="1"/>
  <c r="A76" i="5"/>
  <c r="C75" i="5"/>
  <c r="L105" i="5" l="1"/>
  <c r="J105" i="5"/>
  <c r="N105" i="5" s="1"/>
  <c r="K105" i="5"/>
  <c r="C76" i="5"/>
  <c r="B76" i="5"/>
  <c r="F76" i="5" s="1"/>
  <c r="D76" i="5"/>
  <c r="A77" i="5"/>
  <c r="J75" i="5"/>
  <c r="N75" i="5" s="1"/>
  <c r="I76" i="5"/>
  <c r="L75" i="5"/>
  <c r="K75" i="5"/>
  <c r="I77" i="5" l="1"/>
  <c r="J76" i="5"/>
  <c r="N76" i="5" s="1"/>
  <c r="K76" i="5"/>
  <c r="L76" i="5"/>
  <c r="A78" i="5"/>
  <c r="B77" i="5"/>
  <c r="F77" i="5" s="1"/>
  <c r="D77" i="5"/>
  <c r="C77" i="5"/>
  <c r="B78" i="5" l="1"/>
  <c r="F78" i="5" s="1"/>
  <c r="C78" i="5"/>
  <c r="D78" i="5"/>
  <c r="A79" i="5"/>
  <c r="L77" i="5"/>
  <c r="K77" i="5"/>
  <c r="I78" i="5"/>
  <c r="J77" i="5"/>
  <c r="N77" i="5" s="1"/>
  <c r="D79" i="5" l="1"/>
  <c r="C79" i="5"/>
  <c r="A80" i="5"/>
  <c r="B79" i="5"/>
  <c r="F79" i="5" s="1"/>
  <c r="L78" i="5"/>
  <c r="J78" i="5"/>
  <c r="N78" i="5" s="1"/>
  <c r="K78" i="5"/>
  <c r="I79" i="5"/>
  <c r="I80" i="5" l="1"/>
  <c r="K79" i="5"/>
  <c r="L79" i="5"/>
  <c r="J79" i="5"/>
  <c r="N79" i="5" s="1"/>
  <c r="A81" i="5"/>
  <c r="B80" i="5"/>
  <c r="F80" i="5" s="1"/>
  <c r="C80" i="5"/>
  <c r="D80" i="5"/>
  <c r="C81" i="5" l="1"/>
  <c r="A82" i="5"/>
  <c r="D81" i="5"/>
  <c r="B81" i="5"/>
  <c r="F81" i="5" s="1"/>
  <c r="I81" i="5"/>
  <c r="K80" i="5"/>
  <c r="L80" i="5"/>
  <c r="J80" i="5"/>
  <c r="N80" i="5" s="1"/>
  <c r="L81" i="5" l="1"/>
  <c r="I82" i="5"/>
  <c r="K81" i="5"/>
  <c r="J81" i="5"/>
  <c r="N81" i="5" s="1"/>
  <c r="D82" i="5"/>
  <c r="C82" i="5"/>
  <c r="A83" i="5"/>
  <c r="B82" i="5"/>
  <c r="F82" i="5" s="1"/>
  <c r="D83" i="5" l="1"/>
  <c r="C83" i="5"/>
  <c r="A84" i="5"/>
  <c r="B83" i="5"/>
  <c r="F83" i="5" s="1"/>
  <c r="I83" i="5"/>
  <c r="J82" i="5"/>
  <c r="N82" i="5" s="1"/>
  <c r="K82" i="5"/>
  <c r="L82" i="5"/>
  <c r="K83" i="5" l="1"/>
  <c r="I84" i="5"/>
  <c r="J83" i="5"/>
  <c r="N83" i="5" s="1"/>
  <c r="L83" i="5"/>
  <c r="A85" i="5"/>
  <c r="D84" i="5"/>
  <c r="B84" i="5"/>
  <c r="F84" i="5" s="1"/>
  <c r="C84" i="5"/>
  <c r="C85" i="5" l="1"/>
  <c r="B85" i="5"/>
  <c r="F85" i="5" s="1"/>
  <c r="D85" i="5"/>
  <c r="L84" i="5"/>
  <c r="I85" i="5"/>
  <c r="K84" i="5"/>
  <c r="J84" i="5"/>
  <c r="N84" i="5" s="1"/>
  <c r="I86" i="5" l="1"/>
  <c r="K85" i="5"/>
  <c r="J85" i="5"/>
  <c r="N85" i="5" s="1"/>
  <c r="L85" i="5"/>
  <c r="I87" i="5" l="1"/>
  <c r="J86" i="5"/>
  <c r="N86" i="5" s="1"/>
  <c r="K86" i="5"/>
  <c r="L86" i="5"/>
  <c r="K87" i="5" l="1"/>
  <c r="J87" i="5"/>
  <c r="N87" i="5" s="1"/>
  <c r="L87" i="5"/>
  <c r="I88" i="5"/>
  <c r="I89" i="5" l="1"/>
  <c r="L88" i="5"/>
  <c r="K88" i="5"/>
  <c r="J88" i="5"/>
  <c r="N88" i="5" s="1"/>
  <c r="I90" i="5" l="1"/>
  <c r="L89" i="5"/>
  <c r="K89" i="5"/>
  <c r="J89" i="5"/>
  <c r="N89" i="5" s="1"/>
  <c r="K90" i="5" l="1"/>
  <c r="I91" i="5"/>
  <c r="L90" i="5"/>
  <c r="J90" i="5"/>
  <c r="N90" i="5" s="1"/>
  <c r="I92" i="5" l="1"/>
  <c r="L91" i="5"/>
  <c r="J91" i="5"/>
  <c r="N91" i="5" s="1"/>
  <c r="K91" i="5"/>
  <c r="L92" i="5" l="1"/>
  <c r="K92" i="5"/>
  <c r="J92" i="5"/>
  <c r="N9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<sst xmlns="http://schemas.openxmlformats.org/spreadsheetml/2006/main" count="2041" uniqueCount="850">
  <si>
    <t>Age</t>
  </si>
  <si>
    <t>TOPF</t>
  </si>
  <si>
    <t>Index Scores</t>
  </si>
  <si>
    <t>Scaled Scores</t>
  </si>
  <si>
    <t>Qualitative</t>
  </si>
  <si>
    <t>Pre-morbid estimated FSIQ</t>
  </si>
  <si>
    <t>Pre-morbid estimated IMI</t>
  </si>
  <si>
    <t>Pre-morbid estimated DMI</t>
  </si>
  <si>
    <t xml:space="preserve">RBANS </t>
  </si>
  <si>
    <t>Raw Scores</t>
  </si>
  <si>
    <t>SS Change</t>
  </si>
  <si>
    <t>List Learning</t>
  </si>
  <si>
    <t>Story Memory</t>
  </si>
  <si>
    <t>Figure Copy</t>
  </si>
  <si>
    <t>Line Orientation</t>
  </si>
  <si>
    <t>Expected</t>
  </si>
  <si>
    <t>Picture Naming</t>
  </si>
  <si>
    <t>Semantic Fluency</t>
  </si>
  <si>
    <t>Digit Span</t>
  </si>
  <si>
    <t>Coding</t>
  </si>
  <si>
    <t>List Recall</t>
  </si>
  <si>
    <t xml:space="preserve">List Recognition </t>
  </si>
  <si>
    <t>Story Recall</t>
  </si>
  <si>
    <t xml:space="preserve">Figure Recall </t>
  </si>
  <si>
    <t>Immediate Memory</t>
  </si>
  <si>
    <t>Visuospatial/Constructional</t>
  </si>
  <si>
    <t>Language</t>
  </si>
  <si>
    <t>Attention</t>
  </si>
  <si>
    <t xml:space="preserve">Delayed Memory </t>
  </si>
  <si>
    <t>Total</t>
  </si>
  <si>
    <t>DKEFS Trail Making test</t>
  </si>
  <si>
    <t xml:space="preserve">Scaled Scores </t>
  </si>
  <si>
    <t>Errors</t>
  </si>
  <si>
    <t>Visual Scanning</t>
  </si>
  <si>
    <t>Number Sequencing</t>
  </si>
  <si>
    <t>Letter Sequencing</t>
  </si>
  <si>
    <t>Number Letter Switching</t>
  </si>
  <si>
    <t>Motor Speed</t>
  </si>
  <si>
    <t>DKEFS Verbal Fluency</t>
  </si>
  <si>
    <t>Raw Score (count)</t>
  </si>
  <si>
    <t>Scaled Score</t>
  </si>
  <si>
    <t>Percentile</t>
  </si>
  <si>
    <t>-</t>
  </si>
  <si>
    <t>N/A</t>
  </si>
  <si>
    <t>Hayling</t>
  </si>
  <si>
    <t>Count</t>
  </si>
  <si>
    <t>A Error Score</t>
  </si>
  <si>
    <t>B Error Score</t>
  </si>
  <si>
    <t>Type A Errors (connected)</t>
  </si>
  <si>
    <t>Scores</t>
  </si>
  <si>
    <t>Converted Score</t>
  </si>
  <si>
    <t>Error Scale Score</t>
  </si>
  <si>
    <t>Total scaled scores</t>
  </si>
  <si>
    <t>Total Scale Scores</t>
  </si>
  <si>
    <t>Box A + B + C Scales</t>
  </si>
  <si>
    <t>Overall Scaled Score</t>
  </si>
  <si>
    <t>A general formula for converting between standard scores is as follows:</t>
  </si>
  <si>
    <t>Z from Mean</t>
  </si>
  <si>
    <t>Name</t>
  </si>
  <si>
    <t>Hayling Errors</t>
  </si>
  <si>
    <t>A Errors</t>
  </si>
  <si>
    <t>A Score</t>
  </si>
  <si>
    <t>B Errors</t>
  </si>
  <si>
    <t>B Score</t>
  </si>
  <si>
    <t>Z diff Mean</t>
  </si>
  <si>
    <t>STEN Scale Score</t>
  </si>
  <si>
    <t>RBANS 95% Confidence Intervals</t>
  </si>
  <si>
    <t>IM</t>
  </si>
  <si>
    <t>VC</t>
  </si>
  <si>
    <t>LA</t>
  </si>
  <si>
    <t>AT</t>
  </si>
  <si>
    <t>DM</t>
  </si>
  <si>
    <t>TS</t>
  </si>
  <si>
    <t>Normal Range Based on TOPF (z+/-1)</t>
  </si>
  <si>
    <t>Upper</t>
  </si>
  <si>
    <t>Lower</t>
  </si>
  <si>
    <t>FSIQ</t>
  </si>
  <si>
    <t>IMI</t>
  </si>
  <si>
    <t xml:space="preserve">DMI </t>
  </si>
  <si>
    <t>Plot Lines</t>
  </si>
  <si>
    <t>Z=-1.5</t>
  </si>
  <si>
    <t>Z=-2</t>
  </si>
  <si>
    <t>Mid</t>
  </si>
  <si>
    <t xml:space="preserve">RBANS Effort Scale (ES) </t>
  </si>
  <si>
    <t>RBANS Effort Index (EI)</t>
  </si>
  <si>
    <t>DKEFS Colour Word</t>
  </si>
  <si>
    <t>Raw Score (secs)</t>
  </si>
  <si>
    <t>Colours</t>
  </si>
  <si>
    <t>Words</t>
  </si>
  <si>
    <t>Interference</t>
  </si>
  <si>
    <t>Interference and Switched</t>
  </si>
  <si>
    <t>DKEFS 20 Questions</t>
  </si>
  <si>
    <t>Abstraction</t>
  </si>
  <si>
    <t>Total Qs</t>
  </si>
  <si>
    <t>Weight Ach</t>
  </si>
  <si>
    <t>Frontal Assessment Battery</t>
  </si>
  <si>
    <t>Similarities</t>
  </si>
  <si>
    <t>Lexical Fluency</t>
  </si>
  <si>
    <t>Luria Hand Movements</t>
  </si>
  <si>
    <t>Conflicting Instructions</t>
  </si>
  <si>
    <t>Go No Go</t>
  </si>
  <si>
    <t>Prehension</t>
  </si>
  <si>
    <t>Luria Repeating Patterns</t>
  </si>
  <si>
    <t>Square Triangle</t>
  </si>
  <si>
    <t>Pass</t>
  </si>
  <si>
    <t>Increasing Loops</t>
  </si>
  <si>
    <t>WMS-IV</t>
  </si>
  <si>
    <t>Cognitive Exam</t>
  </si>
  <si>
    <t>Visual Repro I</t>
  </si>
  <si>
    <t>Logical Memory I</t>
  </si>
  <si>
    <t>Verbal Paired 1</t>
  </si>
  <si>
    <t>Visual Repro 2</t>
  </si>
  <si>
    <t>Visual Repro 2 (Recog)</t>
  </si>
  <si>
    <t>Visual Repro 2 (Copy)</t>
  </si>
  <si>
    <t>Logical Memory II</t>
  </si>
  <si>
    <t>Logical Memory II (Recog)</t>
  </si>
  <si>
    <t>Verbal Paired 2</t>
  </si>
  <si>
    <t>Verbal Paired 2 (Recog)</t>
  </si>
  <si>
    <t>Verbal Paired 2 (Word Recall)</t>
  </si>
  <si>
    <t>Symbol Span</t>
  </si>
  <si>
    <t>Z Diff</t>
  </si>
  <si>
    <t>DMI</t>
  </si>
  <si>
    <t>MLSE</t>
  </si>
  <si>
    <t>Max</t>
  </si>
  <si>
    <t>Score</t>
  </si>
  <si>
    <t>%</t>
  </si>
  <si>
    <t>Motor</t>
  </si>
  <si>
    <t>Phonology</t>
  </si>
  <si>
    <t>Semantics</t>
  </si>
  <si>
    <t>Syntax</t>
  </si>
  <si>
    <t>Working Memory</t>
  </si>
  <si>
    <t>MLSE Total</t>
  </si>
  <si>
    <t>Crtieria Met for Use?</t>
  </si>
  <si>
    <t>ES Score</t>
  </si>
  <si>
    <t>Pass/Fail</t>
  </si>
  <si>
    <t>±95% CI</t>
  </si>
  <si>
    <t>EI Score</t>
  </si>
  <si>
    <t>Weighted Digit Score</t>
  </si>
  <si>
    <t>Weighted Recognition Score</t>
  </si>
  <si>
    <t>Sydney Language Battery</t>
  </si>
  <si>
    <t xml:space="preserve">TOMM </t>
  </si>
  <si>
    <t>Trial 1</t>
  </si>
  <si>
    <t>Trial 2</t>
  </si>
  <si>
    <t>Rey 15 Item</t>
  </si>
  <si>
    <t>Recall</t>
  </si>
  <si>
    <t>Recognition</t>
  </si>
  <si>
    <t>MSVT</t>
  </si>
  <si>
    <t>Action Fluency</t>
  </si>
  <si>
    <t>Raw Score</t>
  </si>
  <si>
    <t>Verb Fluency</t>
  </si>
  <si>
    <t>Naming</t>
  </si>
  <si>
    <t>Repetition</t>
  </si>
  <si>
    <t>Comprehension</t>
  </si>
  <si>
    <t>nfPPA</t>
  </si>
  <si>
    <t>svPPA</t>
  </si>
  <si>
    <t>lvPPA</t>
  </si>
  <si>
    <t>Non-impaired</t>
  </si>
  <si>
    <t>Test Results</t>
  </si>
  <si>
    <t>SYD-BATT</t>
  </si>
  <si>
    <t>Semantic Association</t>
  </si>
  <si>
    <t>RBANS</t>
  </si>
  <si>
    <t>https://doi.org/10.1101/2020.06.02.20119974</t>
  </si>
  <si>
    <t>doi: 10.3389/fnagi.2021.675739</t>
  </si>
  <si>
    <t>PSP</t>
  </si>
  <si>
    <t>CBS</t>
  </si>
  <si>
    <t>Criterion A</t>
  </si>
  <si>
    <t>Criterion B Calculations</t>
  </si>
  <si>
    <t>Criterion B (if A failed)</t>
  </si>
  <si>
    <t>OVERALL*</t>
  </si>
  <si>
    <t>Markers Suggest Unable to live without 24 hour supervision</t>
  </si>
  <si>
    <t>Score (0-100)</t>
  </si>
  <si>
    <t>*Unusual Qualitative Markers (note here) - e.g. learning distractors instead, excellent FR but not PA etc</t>
  </si>
  <si>
    <t>WAIS-IV</t>
  </si>
  <si>
    <t>Switching Accuracy</t>
  </si>
  <si>
    <t>Sensible (Box A)</t>
  </si>
  <si>
    <t>Unconnected (Box B)</t>
  </si>
  <si>
    <t>Type B Errors (somewhat)</t>
  </si>
  <si>
    <t>VS/Constructional</t>
  </si>
  <si>
    <t>Index</t>
  </si>
  <si>
    <t>Raw</t>
  </si>
  <si>
    <t>Secs</t>
  </si>
  <si>
    <t>Years Ed</t>
  </si>
  <si>
    <t>Sex</t>
  </si>
  <si>
    <t>Neuropsychological Assessment</t>
  </si>
  <si>
    <t>Date</t>
  </si>
  <si>
    <t>Errors (Box C)</t>
  </si>
  <si>
    <t>Bar Charts</t>
  </si>
  <si>
    <t>z=-2</t>
  </si>
  <si>
    <t>Z=-1</t>
  </si>
  <si>
    <t>Z=+1</t>
  </si>
  <si>
    <t>Phonemic Fluency</t>
  </si>
  <si>
    <t xml:space="preserve">Semantic Fluency </t>
  </si>
  <si>
    <t>Semantic Switching</t>
  </si>
  <si>
    <t>Convert What:</t>
  </si>
  <si>
    <t>To:</t>
  </si>
  <si>
    <t>Scale</t>
  </si>
  <si>
    <t>Z</t>
  </si>
  <si>
    <t>T</t>
  </si>
  <si>
    <t>STEN</t>
  </si>
  <si>
    <t>Mean</t>
  </si>
  <si>
    <t>SD</t>
  </si>
  <si>
    <t>Male=0 Female=1</t>
  </si>
  <si>
    <t>Years Education</t>
  </si>
  <si>
    <t>First RBANS</t>
  </si>
  <si>
    <t>Predicted RBANS</t>
  </si>
  <si>
    <t>Second RBANS</t>
  </si>
  <si>
    <t>Actual Difference</t>
  </si>
  <si>
    <t>at Follow Up</t>
  </si>
  <si>
    <t>(-ve is decline)</t>
  </si>
  <si>
    <t>Delayed Memory</t>
  </si>
  <si>
    <t>Total Scale</t>
  </si>
  <si>
    <t>Hammers et al 2022</t>
  </si>
  <si>
    <t>doi:10.1080/13854046.2020.1807058.</t>
  </si>
  <si>
    <t>(max 18)</t>
  </si>
  <si>
    <t>Block Design</t>
  </si>
  <si>
    <t>Matrix Reasoning</t>
  </si>
  <si>
    <t>Vocabulary</t>
  </si>
  <si>
    <t>Arithmetic</t>
  </si>
  <si>
    <t>Symbol Search</t>
  </si>
  <si>
    <t>Visual Puzzles</t>
  </si>
  <si>
    <t>Information</t>
  </si>
  <si>
    <t>Letter-Number Seq</t>
  </si>
  <si>
    <t>Figure Weights</t>
  </si>
  <si>
    <t>Cancellation</t>
  </si>
  <si>
    <t>Picture Completion</t>
  </si>
  <si>
    <t>Pre-morbid estimated VCI</t>
  </si>
  <si>
    <t>Pre-morbid estimated PRI</t>
  </si>
  <si>
    <t>Pre-morbid estimated WM</t>
  </si>
  <si>
    <t>Pre-morbid estimated PSI</t>
  </si>
  <si>
    <t>VCI</t>
  </si>
  <si>
    <t>PRI</t>
  </si>
  <si>
    <t>WMI</t>
  </si>
  <si>
    <t>PSI</t>
  </si>
  <si>
    <t>WM</t>
  </si>
  <si>
    <t>SS Diff</t>
  </si>
  <si>
    <t>Coeff</t>
  </si>
  <si>
    <t>Intercept</t>
  </si>
  <si>
    <t>TOPF^2</t>
  </si>
  <si>
    <t>TOPF^3</t>
  </si>
  <si>
    <t>YoE</t>
  </si>
  <si>
    <t>Gender</t>
  </si>
  <si>
    <t>Raw TOPF Score</t>
  </si>
  <si>
    <t>Number of Years Education</t>
  </si>
  <si>
    <t>Gender Code</t>
  </si>
  <si>
    <t>Male</t>
  </si>
  <si>
    <t>Pre Morbid FSIQ Estimate</t>
  </si>
  <si>
    <t>Sest</t>
  </si>
  <si>
    <t>Pre Morbid VCI Estimate</t>
  </si>
  <si>
    <t>Pre Morbid PRI Estimate</t>
  </si>
  <si>
    <t>Pre Morbid WMI Estimate</t>
  </si>
  <si>
    <t>Pre Morbid PSI Estimate</t>
  </si>
  <si>
    <t>Male = 2</t>
  </si>
  <si>
    <t>Female = 1</t>
  </si>
  <si>
    <t>95% CI</t>
  </si>
  <si>
    <t>90% CI</t>
  </si>
  <si>
    <t>Pre-Morbid IMI Estimate</t>
  </si>
  <si>
    <t>Pre-Morbid VWMI Estimate</t>
  </si>
  <si>
    <t>Pre-Morbid DMI Estimate</t>
  </si>
  <si>
    <t>VWMI</t>
  </si>
  <si>
    <t>Pre-morbid estimated VWMI</t>
  </si>
  <si>
    <t>Female</t>
  </si>
  <si>
    <r>
      <t xml:space="preserve">The terms </t>
    </r>
    <r>
      <rPr>
        <i/>
        <sz val="8"/>
        <color theme="1"/>
        <rFont val="Arial"/>
        <family val="2"/>
      </rPr>
      <t>X</t>
    </r>
    <r>
      <rPr>
        <i/>
        <vertAlign val="subscript"/>
        <sz val="8"/>
        <color theme="1"/>
        <rFont val="Arial"/>
        <family val="2"/>
      </rPr>
      <t>new</t>
    </r>
    <r>
      <rPr>
        <i/>
        <sz val="8"/>
        <color theme="1"/>
        <rFont val="Arial"/>
        <family val="2"/>
      </rPr>
      <t xml:space="preserve"> </t>
    </r>
    <r>
      <rPr>
        <sz val="8"/>
        <color theme="1"/>
        <rFont val="Arial"/>
        <family val="2"/>
      </rPr>
      <t xml:space="preserve">represents the score we are transforming to, </t>
    </r>
    <r>
      <rPr>
        <i/>
        <sz val="8"/>
        <color theme="1"/>
        <rFont val="Arial"/>
        <family val="2"/>
      </rPr>
      <t>X</t>
    </r>
    <r>
      <rPr>
        <i/>
        <vertAlign val="subscript"/>
        <sz val="8"/>
        <color theme="1"/>
        <rFont val="Arial"/>
        <family val="2"/>
      </rPr>
      <t>old</t>
    </r>
    <r>
      <rPr>
        <sz val="8"/>
        <color theme="1"/>
        <rFont val="Arial"/>
        <family val="2"/>
      </rPr>
      <t xml:space="preserve"> is the existing score. </t>
    </r>
    <r>
      <rPr>
        <i/>
        <sz val="8"/>
        <color theme="1"/>
        <rFont val="Arial"/>
        <family val="2"/>
      </rPr>
      <t>SD</t>
    </r>
    <r>
      <rPr>
        <i/>
        <vertAlign val="subscript"/>
        <sz val="8"/>
        <color theme="1"/>
        <rFont val="Arial"/>
        <family val="2"/>
      </rPr>
      <t>old</t>
    </r>
    <r>
      <rPr>
        <sz val="8"/>
        <color theme="1"/>
        <rFont val="Arial"/>
        <family val="2"/>
      </rPr>
      <t xml:space="preserve"> is the standard deviation of the existing scale, </t>
    </r>
    <r>
      <rPr>
        <i/>
        <sz val="8"/>
        <color theme="1"/>
        <rFont val="Arial"/>
        <family val="2"/>
      </rPr>
      <t>SD</t>
    </r>
    <r>
      <rPr>
        <i/>
        <vertAlign val="subscript"/>
        <sz val="8"/>
        <color theme="1"/>
        <rFont val="Arial"/>
        <family val="2"/>
      </rPr>
      <t>new</t>
    </r>
    <r>
      <rPr>
        <sz val="8"/>
        <color theme="1"/>
        <rFont val="Arial"/>
        <family val="2"/>
      </rPr>
      <t xml:space="preserve"> is the standard deviation of the new scale,</t>
    </r>
    <r>
      <rPr>
        <i/>
        <sz val="8"/>
        <color theme="1"/>
        <rFont val="Arial"/>
        <family val="2"/>
      </rPr>
      <t xml:space="preserve"> ̅X</t>
    </r>
    <r>
      <rPr>
        <i/>
        <vertAlign val="subscript"/>
        <sz val="8"/>
        <color theme="1"/>
        <rFont val="Arial"/>
        <family val="2"/>
      </rPr>
      <t>old</t>
    </r>
    <r>
      <rPr>
        <sz val="8"/>
        <color theme="1"/>
        <rFont val="Arial"/>
        <family val="2"/>
      </rPr>
      <t xml:space="preserve"> and ̅</t>
    </r>
    <r>
      <rPr>
        <i/>
        <sz val="8"/>
        <color theme="1"/>
        <rFont val="Arial"/>
        <family val="2"/>
      </rPr>
      <t>X</t>
    </r>
    <r>
      <rPr>
        <i/>
        <vertAlign val="subscript"/>
        <sz val="8"/>
        <color theme="1"/>
        <rFont val="Arial"/>
        <family val="2"/>
      </rPr>
      <t>new</t>
    </r>
    <r>
      <rPr>
        <sz val="8"/>
        <color theme="1"/>
        <rFont val="Arial"/>
        <family val="2"/>
      </rPr>
      <t xml:space="preserve"> are the respective mean values of the scales. </t>
    </r>
  </si>
  <si>
    <t>Using the Standard Error of Estimate for TOPF with 95% CI</t>
  </si>
  <si>
    <t>40-49</t>
  </si>
  <si>
    <t>50-59</t>
  </si>
  <si>
    <t>60-69</t>
  </si>
  <si>
    <t>70-79</t>
  </si>
  <si>
    <t>80-89</t>
  </si>
  <si>
    <t>Phonemic</t>
  </si>
  <si>
    <t>Semantic</t>
  </si>
  <si>
    <t>Maximum Reverse Digits on Two Trials</t>
  </si>
  <si>
    <t>Maximum Forward Digits on Two Trials</t>
  </si>
  <si>
    <t>Total Forward + Reverse Digit Span</t>
  </si>
  <si>
    <t>OVERALL</t>
  </si>
  <si>
    <t>Immediate Recognition (IR)</t>
  </si>
  <si>
    <t>Delayed Recognition (DR)</t>
  </si>
  <si>
    <t>Consistency (CNS)</t>
  </si>
  <si>
    <t>Paired Associations (PA)</t>
  </si>
  <si>
    <t>Free Recall (FR)</t>
  </si>
  <si>
    <t>Clear Malingering Markers</t>
  </si>
  <si>
    <t>Correct identification from 10 trials</t>
  </si>
  <si>
    <t>(Not advisable for use in anything beyond Mild Dementia/MCI)</t>
  </si>
  <si>
    <t>Any unusual qualitative markers e.g. recognising f, F, 6</t>
  </si>
  <si>
    <t>https://doi.org/10.1080/13607863.2010.508770</t>
  </si>
  <si>
    <t>Spec</t>
  </si>
  <si>
    <t>(Do NOT use in anything beyond Mild Dementia/MCI)</t>
  </si>
  <si>
    <t>Grewel et al 2022</t>
  </si>
  <si>
    <t xml:space="preserve"> https://doi.org/10.1080/23279095.2022.2079088</t>
  </si>
  <si>
    <t>CVLT-II SF Dementia</t>
  </si>
  <si>
    <t>SMC</t>
  </si>
  <si>
    <t>AD</t>
  </si>
  <si>
    <t>Correct</t>
  </si>
  <si>
    <t>Frequency</t>
  </si>
  <si>
    <t>FCR</t>
  </si>
  <si>
    <t>TOTAL</t>
  </si>
  <si>
    <t>aMCI</t>
  </si>
  <si>
    <t>CVLT Short Form Forced Choice</t>
  </si>
  <si>
    <t>(Limited evidence base)</t>
  </si>
  <si>
    <t>Correct identification out of 9</t>
  </si>
  <si>
    <t>Do not include details (names or scores) of these in report</t>
  </si>
  <si>
    <t>Chance less than p=0.05</t>
  </si>
  <si>
    <t>https://doi.org/10.1080/13854046.2014.960454</t>
  </si>
  <si>
    <t>(Not advisable for use beyond Mild Dementia/MCI - use adjusted thresholds if moderate/severe)</t>
  </si>
  <si>
    <t>https://doi.org/10.1080/09084282.2012.695757</t>
  </si>
  <si>
    <t>Mod/Severe</t>
  </si>
  <si>
    <t>Mild/MCI</t>
  </si>
  <si>
    <t>Walter et al 2014</t>
  </si>
  <si>
    <t>Bortnik et al 2013</t>
  </si>
  <si>
    <t>Use Clinical Judgement</t>
  </si>
  <si>
    <r>
      <t xml:space="preserve">Percentage of people </t>
    </r>
    <r>
      <rPr>
        <b/>
        <sz val="11"/>
        <color theme="1"/>
        <rFont val="Arial"/>
        <family val="2"/>
      </rPr>
      <t>with AD who score this or lower</t>
    </r>
  </si>
  <si>
    <t>=</t>
  </si>
  <si>
    <t>TOPF Regression</t>
  </si>
  <si>
    <t>SemSw</t>
  </si>
  <si>
    <t>Switch</t>
  </si>
  <si>
    <t>Accuracy</t>
  </si>
  <si>
    <t>(Previous)</t>
  </si>
  <si>
    <t>(Current)</t>
  </si>
  <si>
    <t>Score (90%CI)</t>
  </si>
  <si>
    <t>RBANS 90% Confidence Intervals</t>
  </si>
  <si>
    <r>
      <t>SE</t>
    </r>
    <r>
      <rPr>
        <b/>
        <i/>
        <sz val="9"/>
        <color rgb="FF212121"/>
        <rFont val="Arial"/>
        <family val="2"/>
      </rPr>
      <t>est</t>
    </r>
  </si>
  <si>
    <t>Max Normal T2</t>
  </si>
  <si>
    <t>Min Normal T2</t>
  </si>
  <si>
    <t>Use this if this is a FOLLOW-UP assessment - input the old RBANS scores into the white boxes - the results will state if an index shows an abnormal difference in scores</t>
  </si>
  <si>
    <r>
      <t xml:space="preserve">Use dropdowns in </t>
    </r>
    <r>
      <rPr>
        <b/>
        <sz val="11"/>
        <color theme="8"/>
        <rFont val="Arial"/>
        <family val="2"/>
      </rPr>
      <t>blue</t>
    </r>
    <r>
      <rPr>
        <b/>
        <sz val="11"/>
        <color theme="1"/>
        <rFont val="Arial"/>
        <family val="2"/>
      </rPr>
      <t xml:space="preserve"> boxes, enter data into </t>
    </r>
    <r>
      <rPr>
        <b/>
        <sz val="11"/>
        <color theme="0"/>
        <rFont val="Arial"/>
        <family val="2"/>
      </rPr>
      <t>white</t>
    </r>
    <r>
      <rPr>
        <b/>
        <sz val="11"/>
        <color theme="1"/>
        <rFont val="Arial"/>
        <family val="2"/>
      </rPr>
      <t xml:space="preserve"> box, output is in </t>
    </r>
    <r>
      <rPr>
        <b/>
        <sz val="11"/>
        <color rgb="FFFFC000"/>
        <rFont val="Arial"/>
        <family val="2"/>
      </rPr>
      <t>orange</t>
    </r>
    <r>
      <rPr>
        <b/>
        <sz val="11"/>
        <color theme="1"/>
        <rFont val="Arial"/>
        <family val="2"/>
      </rPr>
      <t xml:space="preserve"> boxes</t>
    </r>
  </si>
  <si>
    <t>Using the Previous RBANS to show expected performance area</t>
  </si>
  <si>
    <t>DO NOT EDIT ANYTHING ON THIS SHEET</t>
  </si>
  <si>
    <t>STANDARD TESTS</t>
  </si>
  <si>
    <t>LANGUAGE TESTS</t>
  </si>
  <si>
    <t>RE-TESTING - COMPARING RBANS T1 to T2</t>
  </si>
  <si>
    <t>If this is the FIRST assessment, below are the scores (and ranges) the person should gain if they are to be retested and there are no degenerative changes</t>
  </si>
  <si>
    <t>T2 minus Predicted</t>
  </si>
  <si>
    <r>
      <t xml:space="preserve">ONLY ADD DATA TO THE </t>
    </r>
    <r>
      <rPr>
        <b/>
        <sz val="11"/>
        <color theme="0"/>
        <rFont val="Arial"/>
        <family val="2"/>
      </rPr>
      <t>WHITE</t>
    </r>
    <r>
      <rPr>
        <b/>
        <sz val="11"/>
        <color theme="1"/>
        <rFont val="Arial"/>
        <family val="2"/>
      </rPr>
      <t xml:space="preserve"> BOXES</t>
    </r>
  </si>
  <si>
    <t>Effort/Guess/Malingering</t>
  </si>
  <si>
    <t>Patient</t>
  </si>
  <si>
    <t>Simulators</t>
  </si>
  <si>
    <t>Advanced Dementia</t>
  </si>
  <si>
    <t>Early Dementia</t>
  </si>
  <si>
    <t>IR</t>
  </si>
  <si>
    <t>DR</t>
  </si>
  <si>
    <t>CNS</t>
  </si>
  <si>
    <t>PA</t>
  </si>
  <si>
    <t>FR</t>
  </si>
  <si>
    <t>Malingering</t>
  </si>
  <si>
    <t>Malingering Level Performance</t>
  </si>
  <si>
    <t>Total Dependence Level Performance</t>
  </si>
  <si>
    <t>TOMM</t>
  </si>
  <si>
    <t>T1</t>
  </si>
  <si>
    <t>T2</t>
  </si>
  <si>
    <t>Above Chance - Clinical Judgement</t>
  </si>
  <si>
    <t>Chance Level Performance</t>
  </si>
  <si>
    <t>EFFORT (DO NOT INCLUDE IN REPORT)</t>
  </si>
  <si>
    <t>Criterion A Fail</t>
  </si>
  <si>
    <t>±90% CI</t>
  </si>
  <si>
    <t>Pre-Morbid Estimates using TOPF vs RBANS</t>
  </si>
  <si>
    <t>RBANS Discrepancy Analysis</t>
  </si>
  <si>
    <t>p=0.05</t>
  </si>
  <si>
    <t>IMVC</t>
  </si>
  <si>
    <t>IMAT</t>
  </si>
  <si>
    <t>IMLA</t>
  </si>
  <si>
    <t>IMDM</t>
  </si>
  <si>
    <t>IMTS</t>
  </si>
  <si>
    <t>VCAT</t>
  </si>
  <si>
    <t>VCLA</t>
  </si>
  <si>
    <t>VCDM</t>
  </si>
  <si>
    <t>VCTS</t>
  </si>
  <si>
    <t>ATLA</t>
  </si>
  <si>
    <t>ATDM</t>
  </si>
  <si>
    <t>ATTS</t>
  </si>
  <si>
    <t>LADM</t>
  </si>
  <si>
    <t>LATS</t>
  </si>
  <si>
    <t>DMTS</t>
  </si>
  <si>
    <t>Reliable Differences</t>
  </si>
  <si>
    <t>All ages</t>
  </si>
  <si>
    <t>Abnormal Difference Levels (&lt;5%)</t>
  </si>
  <si>
    <t>Domain 1</t>
  </si>
  <si>
    <t>Domain 2</t>
  </si>
  <si>
    <t>Score D2</t>
  </si>
  <si>
    <t>Score D1</t>
  </si>
  <si>
    <t>Rel Diff</t>
  </si>
  <si>
    <t>Diff</t>
  </si>
  <si>
    <t>Abn Diff</t>
  </si>
  <si>
    <t>Reliable Difference?</t>
  </si>
  <si>
    <t>Abnormal Difference?</t>
  </si>
  <si>
    <r>
      <t xml:space="preserve">Diff </t>
    </r>
    <r>
      <rPr>
        <b/>
        <sz val="11"/>
        <color theme="1"/>
        <rFont val="Calibri"/>
        <family val="2"/>
      </rPr>
      <t>√</t>
    </r>
    <r>
      <rPr>
        <b/>
        <sz val="11"/>
        <color theme="1"/>
        <rFont val="Arial"/>
        <family val="2"/>
      </rPr>
      <t>^2</t>
    </r>
  </si>
  <si>
    <r>
      <t xml:space="preserve">Input into </t>
    </r>
    <r>
      <rPr>
        <b/>
        <sz val="14"/>
        <color theme="0"/>
        <rFont val="Arial"/>
        <family val="2"/>
      </rPr>
      <t>White Boxes</t>
    </r>
    <r>
      <rPr>
        <b/>
        <sz val="14"/>
        <color rgb="FFFFFF00"/>
        <rFont val="Arial"/>
        <family val="2"/>
      </rPr>
      <t xml:space="preserve"> </t>
    </r>
    <r>
      <rPr>
        <b/>
        <sz val="14"/>
        <color theme="1"/>
        <rFont val="Arial"/>
        <family val="2"/>
      </rPr>
      <t>Only</t>
    </r>
  </si>
  <si>
    <t>RBANS Discrepancy Analysis - differences between domains</t>
  </si>
  <si>
    <r>
      <t>(</t>
    </r>
    <r>
      <rPr>
        <sz val="11"/>
        <color theme="1"/>
        <rFont val="Calibri"/>
        <family val="2"/>
      </rPr>
      <t>≤</t>
    </r>
    <r>
      <rPr>
        <sz val="11"/>
        <color theme="1"/>
        <rFont val="Arial"/>
        <family val="2"/>
      </rPr>
      <t>5%)</t>
    </r>
  </si>
  <si>
    <r>
      <t>Input into</t>
    </r>
    <r>
      <rPr>
        <b/>
        <sz val="11"/>
        <color theme="0"/>
        <rFont val="Arial"/>
        <family val="2"/>
      </rPr>
      <t xml:space="preserve"> white boxes</t>
    </r>
    <r>
      <rPr>
        <b/>
        <sz val="11"/>
        <color theme="1"/>
        <rFont val="Arial"/>
        <family val="2"/>
      </rPr>
      <t xml:space="preserve"> only</t>
    </r>
  </si>
  <si>
    <t>Pull Through Data</t>
  </si>
  <si>
    <t>Hayling Score</t>
  </si>
  <si>
    <t>Percentile Ranges</t>
  </si>
  <si>
    <r>
      <t>&gt;75</t>
    </r>
    <r>
      <rPr>
        <vertAlign val="superscript"/>
        <sz val="11"/>
        <color theme="1"/>
        <rFont val="Calibri"/>
        <family val="2"/>
        <scheme val="minor"/>
      </rPr>
      <t>th</t>
    </r>
    <r>
      <rPr>
        <sz val="11"/>
        <color theme="1"/>
        <rFont val="Calibri"/>
        <family val="2"/>
        <scheme val="minor"/>
      </rPr>
      <t>%</t>
    </r>
  </si>
  <si>
    <r>
      <t>51</t>
    </r>
    <r>
      <rPr>
        <vertAlign val="superscript"/>
        <sz val="11"/>
        <color theme="1"/>
        <rFont val="Calibri"/>
        <family val="2"/>
        <scheme val="minor"/>
      </rPr>
      <t>st</t>
    </r>
    <r>
      <rPr>
        <sz val="11"/>
        <color theme="1"/>
        <rFont val="Calibri"/>
        <family val="2"/>
        <scheme val="minor"/>
      </rPr>
      <t>-75</t>
    </r>
    <r>
      <rPr>
        <vertAlign val="superscript"/>
        <sz val="11"/>
        <color theme="1"/>
        <rFont val="Calibri"/>
        <family val="2"/>
        <scheme val="minor"/>
      </rPr>
      <t>th</t>
    </r>
    <r>
      <rPr>
        <sz val="11"/>
        <color theme="1"/>
        <rFont val="Calibri"/>
        <family val="2"/>
        <scheme val="minor"/>
      </rPr>
      <t>%</t>
    </r>
  </si>
  <si>
    <r>
      <t>26</t>
    </r>
    <r>
      <rPr>
        <vertAlign val="superscript"/>
        <sz val="11"/>
        <color theme="1"/>
        <rFont val="Calibri"/>
        <family val="2"/>
        <scheme val="minor"/>
      </rPr>
      <t>th</t>
    </r>
    <r>
      <rPr>
        <sz val="11"/>
        <color theme="1"/>
        <rFont val="Calibri"/>
        <family val="2"/>
        <scheme val="minor"/>
      </rPr>
      <t>-50</t>
    </r>
    <r>
      <rPr>
        <vertAlign val="superscript"/>
        <sz val="11"/>
        <color theme="1"/>
        <rFont val="Calibri"/>
        <family val="2"/>
        <scheme val="minor"/>
      </rPr>
      <t>th</t>
    </r>
    <r>
      <rPr>
        <sz val="11"/>
        <color theme="1"/>
        <rFont val="Calibri"/>
        <family val="2"/>
        <scheme val="minor"/>
      </rPr>
      <t>%</t>
    </r>
  </si>
  <si>
    <r>
      <t>17</t>
    </r>
    <r>
      <rPr>
        <vertAlign val="superscript"/>
        <sz val="11"/>
        <color theme="1"/>
        <rFont val="Calibri"/>
        <family val="2"/>
        <scheme val="minor"/>
      </rPr>
      <t>th</t>
    </r>
    <r>
      <rPr>
        <sz val="11"/>
        <color theme="1"/>
        <rFont val="Calibri"/>
        <family val="2"/>
        <scheme val="minor"/>
      </rPr>
      <t>-25</t>
    </r>
    <r>
      <rPr>
        <vertAlign val="superscript"/>
        <sz val="11"/>
        <color theme="1"/>
        <rFont val="Calibri"/>
        <family val="2"/>
        <scheme val="minor"/>
      </rPr>
      <t>th</t>
    </r>
    <r>
      <rPr>
        <sz val="11"/>
        <color theme="1"/>
        <rFont val="Calibri"/>
        <family val="2"/>
        <scheme val="minor"/>
      </rPr>
      <t>%</t>
    </r>
  </si>
  <si>
    <r>
      <t>10</t>
    </r>
    <r>
      <rPr>
        <vertAlign val="superscript"/>
        <sz val="11"/>
        <color theme="1"/>
        <rFont val="Calibri"/>
        <family val="2"/>
        <scheme val="minor"/>
      </rPr>
      <t>th</t>
    </r>
    <r>
      <rPr>
        <sz val="11"/>
        <color theme="1"/>
        <rFont val="Calibri"/>
        <family val="2"/>
        <scheme val="minor"/>
      </rPr>
      <t>-16</t>
    </r>
    <r>
      <rPr>
        <vertAlign val="superscript"/>
        <sz val="11"/>
        <color theme="1"/>
        <rFont val="Calibri"/>
        <family val="2"/>
        <scheme val="minor"/>
      </rPr>
      <t>th</t>
    </r>
    <r>
      <rPr>
        <sz val="11"/>
        <color theme="1"/>
        <rFont val="Calibri"/>
        <family val="2"/>
        <scheme val="minor"/>
      </rPr>
      <t>%</t>
    </r>
  </si>
  <si>
    <r>
      <t>3</t>
    </r>
    <r>
      <rPr>
        <vertAlign val="superscript"/>
        <sz val="11"/>
        <color theme="1"/>
        <rFont val="Calibri"/>
        <family val="2"/>
        <scheme val="minor"/>
      </rPr>
      <t>rd</t>
    </r>
    <r>
      <rPr>
        <sz val="11"/>
        <color theme="1"/>
        <rFont val="Calibri"/>
        <family val="2"/>
        <scheme val="minor"/>
      </rPr>
      <t>-9</t>
    </r>
    <r>
      <rPr>
        <vertAlign val="superscript"/>
        <sz val="11"/>
        <color theme="1"/>
        <rFont val="Calibri"/>
        <family val="2"/>
        <scheme val="minor"/>
      </rPr>
      <t>th</t>
    </r>
    <r>
      <rPr>
        <sz val="11"/>
        <color theme="1"/>
        <rFont val="Calibri"/>
        <family val="2"/>
        <scheme val="minor"/>
      </rPr>
      <t>%</t>
    </r>
  </si>
  <si>
    <r>
      <t>≤2</t>
    </r>
    <r>
      <rPr>
        <vertAlign val="superscript"/>
        <sz val="11"/>
        <color theme="1"/>
        <rFont val="Calibri"/>
        <family val="2"/>
      </rPr>
      <t>nd</t>
    </r>
    <r>
      <rPr>
        <sz val="11"/>
        <color theme="1"/>
        <rFont val="Calibri"/>
        <family val="2"/>
      </rPr>
      <t>%</t>
    </r>
  </si>
  <si>
    <t>High Average+</t>
  </si>
  <si>
    <t>Average</t>
  </si>
  <si>
    <t>Low Average</t>
  </si>
  <si>
    <t>Borderline</t>
  </si>
  <si>
    <t>Extremely Low</t>
  </si>
  <si>
    <t>Seconds</t>
  </si>
  <si>
    <t>Scanning</t>
  </si>
  <si>
    <t>Scaled</t>
  </si>
  <si>
    <t>Backup</t>
  </si>
  <si>
    <t>Backup2</t>
  </si>
  <si>
    <t>Number</t>
  </si>
  <si>
    <t>Letter</t>
  </si>
  <si>
    <t>Switched</t>
  </si>
  <si>
    <t>SS</t>
  </si>
  <si>
    <t>LL</t>
  </si>
  <si>
    <t>SM</t>
  </si>
  <si>
    <t>FC</t>
  </si>
  <si>
    <t>SF</t>
  </si>
  <si>
    <t>DS</t>
  </si>
  <si>
    <t>CD</t>
  </si>
  <si>
    <t>SR</t>
  </si>
  <si>
    <t>LO</t>
  </si>
  <si>
    <t>PN</t>
  </si>
  <si>
    <t>LR</t>
  </si>
  <si>
    <t>LRg</t>
  </si>
  <si>
    <t>EXTENDED BATTERY / MEASURES</t>
  </si>
  <si>
    <t>Percentile Ranges +/-1 z</t>
  </si>
  <si>
    <t>RBANS Sub Test Percentiles</t>
  </si>
  <si>
    <t>z-2</t>
  </si>
  <si>
    <t>z-1.5</t>
  </si>
  <si>
    <t>Delayed Recall</t>
  </si>
  <si>
    <t>Delayed Recognition</t>
  </si>
  <si>
    <t>High</t>
  </si>
  <si>
    <t>Low</t>
  </si>
  <si>
    <t>Actual</t>
  </si>
  <si>
    <t>Bars</t>
  </si>
  <si>
    <t>Time (Secs)</t>
  </si>
  <si>
    <t>72_</t>
  </si>
  <si>
    <t>DRg</t>
  </si>
  <si>
    <t>TR</t>
  </si>
  <si>
    <t>VSC</t>
  </si>
  <si>
    <t>LAN</t>
  </si>
  <si>
    <t>ATT</t>
  </si>
  <si>
    <t>Age Group</t>
  </si>
  <si>
    <t>Sum</t>
  </si>
  <si>
    <t>&lt;0.1</t>
  </si>
  <si>
    <t>&gt;99.9</t>
  </si>
  <si>
    <t>https://doi:10.1093/arclin/acw025</t>
  </si>
  <si>
    <t>https://doi.org/10.1080/13854046.2017.1406146</t>
  </si>
  <si>
    <t>Percentage of people with AD scoring higher than this patient</t>
  </si>
  <si>
    <t>Duff et al 2004 in Compendium of Neuropsychological Tests</t>
  </si>
  <si>
    <t>List Recognition</t>
  </si>
  <si>
    <t>Figure Recall</t>
  </si>
  <si>
    <t>Duff 2004 Ethnicity Code</t>
  </si>
  <si>
    <t>Duff 2004 Education Code</t>
  </si>
  <si>
    <t>Date of Original Test</t>
  </si>
  <si>
    <t>Date of Re-test</t>
  </si>
  <si>
    <t>Duff 2004 Interval</t>
  </si>
  <si>
    <t>Duff et al 2004</t>
  </si>
  <si>
    <t>Ethnicity (for Duff 2004 equations)</t>
  </si>
  <si>
    <t>Duff Ethnicity Selection</t>
  </si>
  <si>
    <t>Non-Caucasion</t>
  </si>
  <si>
    <t>Caucasian</t>
  </si>
  <si>
    <t>Pints</t>
  </si>
  <si>
    <t>Small Glasses of Wine</t>
  </si>
  <si>
    <t>Large Glasses of Wine</t>
  </si>
  <si>
    <t>Bottles of Wine</t>
  </si>
  <si>
    <t>Type</t>
  </si>
  <si>
    <t>Strength (%)</t>
  </si>
  <si>
    <t>Size (ml)</t>
  </si>
  <si>
    <t>--OR--</t>
  </si>
  <si>
    <t>How Many Per Week</t>
  </si>
  <si>
    <t>Units</t>
  </si>
  <si>
    <t>Total Units per week equals</t>
  </si>
  <si>
    <t>Spirits (singles)</t>
  </si>
  <si>
    <t>Select CI level RBANS here --&gt;</t>
  </si>
  <si>
    <t>Z Change</t>
  </si>
  <si>
    <t>Z change</t>
  </si>
  <si>
    <t>Date of Testing</t>
  </si>
  <si>
    <t>Patient Name</t>
  </si>
  <si>
    <t>90% CI Significant</t>
  </si>
  <si>
    <t>(1) START: Add/Select Data Here</t>
  </si>
  <si>
    <t>Date of Original Test (if this is a Re-test)</t>
  </si>
  <si>
    <t>(2a) refer to table below if this is the first time they've been tested</t>
  </si>
  <si>
    <t>(3) If follow up, add original sub test raw data here</t>
  </si>
  <si>
    <t>(2b) If follow up add data here</t>
  </si>
  <si>
    <t>Duff 2004 Gender Code</t>
  </si>
  <si>
    <t>There are reliable change indicators (using Base Rate Data) given in both the RBANS manuals and Compendium of Neuropsychological tests. The regression formulas used above and to the right should be used cautiously where there was an abnormal gap between tests (e.g not 1-2 years) or where the T1 performance was &lt;2nd percentile or &gt;98th percentile)</t>
  </si>
  <si>
    <t>RBANS Sub Test SEMs</t>
  </si>
  <si>
    <t>Standard Deviate</t>
  </si>
  <si>
    <t>SEM</t>
  </si>
  <si>
    <t>SSLow</t>
  </si>
  <si>
    <t>SSHigh</t>
  </si>
  <si>
    <t>IndLow</t>
  </si>
  <si>
    <t>IndHigh</t>
  </si>
  <si>
    <t>Randolph Calculations</t>
  </si>
  <si>
    <t>T2T1</t>
  </si>
  <si>
    <t>≤1%</t>
  </si>
  <si>
    <t>≥99%</t>
  </si>
  <si>
    <r>
      <rPr>
        <sz val="11"/>
        <color theme="1"/>
        <rFont val="Calibri"/>
        <family val="2"/>
      </rPr>
      <t>≥</t>
    </r>
    <r>
      <rPr>
        <sz val="11"/>
        <color theme="1"/>
        <rFont val="Calibri"/>
        <family val="2"/>
        <scheme val="minor"/>
      </rPr>
      <t>110</t>
    </r>
  </si>
  <si>
    <t>Select The Closest Time Period</t>
  </si>
  <si>
    <t>T1T2 / T1T3 / T2T3</t>
  </si>
  <si>
    <t>Previous RBANS</t>
  </si>
  <si>
    <t>Current RBANS</t>
  </si>
  <si>
    <t>First as Z</t>
  </si>
  <si>
    <t>Second as Z</t>
  </si>
  <si>
    <t xml:space="preserve">Difference between </t>
  </si>
  <si>
    <t>Z scores</t>
  </si>
  <si>
    <t>(page 46 manual)</t>
  </si>
  <si>
    <t>Corrected Rxy</t>
  </si>
  <si>
    <t>Zd</t>
  </si>
  <si>
    <t>Randolph Test Retest Calculations using Payne and Jones Formulas and corrected correlations</t>
  </si>
  <si>
    <t>Specificity of the Test (correctly identifies negatives)</t>
  </si>
  <si>
    <t>Sensitivity of the Test (correctly indenties positives)</t>
  </si>
  <si>
    <t>Base Rate of the Condition of Interest (e.g. dementia, malingering etc)</t>
  </si>
  <si>
    <t>False positive rate</t>
  </si>
  <si>
    <t>False negative rate</t>
  </si>
  <si>
    <t>(0-1)</t>
  </si>
  <si>
    <t>Positive Predictive Power</t>
  </si>
  <si>
    <t>Negative Predictive Power</t>
  </si>
  <si>
    <t>of the population in question do/have COI</t>
  </si>
  <si>
    <t>TOMM Failure</t>
  </si>
  <si>
    <t>RDS Failure</t>
  </si>
  <si>
    <t>MSVT Failure</t>
  </si>
  <si>
    <t>ES Failure</t>
  </si>
  <si>
    <t>Sens</t>
  </si>
  <si>
    <t>PPP</t>
  </si>
  <si>
    <t>Base Rate</t>
  </si>
  <si>
    <t>NPP</t>
  </si>
  <si>
    <t>EFFORT TESTS - Set Base Rate above as COI poor effort per population e.g. 0.05 memory clinic, 0.45 forensic etc</t>
  </si>
  <si>
    <t>CIH Failure</t>
  </si>
  <si>
    <t>Fail</t>
  </si>
  <si>
    <t>PPV</t>
  </si>
  <si>
    <t>Suspected Dementia Type</t>
  </si>
  <si>
    <t>VaD</t>
  </si>
  <si>
    <t>DLB</t>
  </si>
  <si>
    <t>FTD</t>
  </si>
  <si>
    <t>MCI/Mild AD</t>
  </si>
  <si>
    <t>Zenisek et al 2016</t>
  </si>
  <si>
    <t>Suesse et al 2015</t>
  </si>
  <si>
    <t>See Effort Tab!</t>
  </si>
  <si>
    <t>Burton et al 2015</t>
  </si>
  <si>
    <t>Specs from</t>
  </si>
  <si>
    <t>Sens from</t>
  </si>
  <si>
    <t>as above</t>
  </si>
  <si>
    <t xml:space="preserve">assumed </t>
  </si>
  <si>
    <t>Avg of Singhail and Howe</t>
  </si>
  <si>
    <t>Schroeder et al 2012</t>
  </si>
  <si>
    <t>Rudman et al 2011</t>
  </si>
  <si>
    <t>Avg of Paulson and Dunham</t>
  </si>
  <si>
    <t>SubCalcs</t>
  </si>
  <si>
    <t>BR</t>
  </si>
  <si>
    <t>Top</t>
  </si>
  <si>
    <t>Bottom</t>
  </si>
  <si>
    <t>x</t>
  </si>
  <si>
    <t>1+(</t>
  </si>
  <si>
    <t>)</t>
  </si>
  <si>
    <t>Positive and Negative Predictive Power Calculator</t>
  </si>
  <si>
    <t>Combined Effort Test Positive Predictive Value (i.e. chance of bias)</t>
  </si>
  <si>
    <t>Banded by T1 Total Scale Score</t>
  </si>
  <si>
    <t>Question</t>
  </si>
  <si>
    <t>IQCODE SCORE</t>
  </si>
  <si>
    <t>http://dx.doi.org/10.1016/j.cortex.2016.07.003</t>
  </si>
  <si>
    <t>Raw Score (Time)</t>
  </si>
  <si>
    <t>Z Score</t>
  </si>
  <si>
    <t>Trails A</t>
  </si>
  <si>
    <t>Trails B</t>
  </si>
  <si>
    <t>Gender code (opp TOPF)</t>
  </si>
  <si>
    <t>Supplement of Shirk et al. (2011) A Web-based Normative Calculator for the Uniform Data Set (UDS) Neuropsychological Test Battery. Alzheimer's Research &amp; Therapy.</t>
  </si>
  <si>
    <t xml:space="preserve">TMT </t>
  </si>
  <si>
    <t>(Age, Sex, Ed Adjusted)</t>
  </si>
  <si>
    <t>Crawford and Allan Pre-Morbid FSIQ Formula</t>
  </si>
  <si>
    <t>Profession Type</t>
  </si>
  <si>
    <t>Pre-Morbid FSIQ</t>
  </si>
  <si>
    <t>STW2</t>
  </si>
  <si>
    <t>Raw STW-2 Score</t>
  </si>
  <si>
    <t>STW-2</t>
  </si>
  <si>
    <t>Demographics Regression Equation</t>
  </si>
  <si>
    <t>Profession Code</t>
  </si>
  <si>
    <t>Professional</t>
  </si>
  <si>
    <t>Intermediate</t>
  </si>
  <si>
    <t>Skilled Manual</t>
  </si>
  <si>
    <t>Semi-skilled Manual</t>
  </si>
  <si>
    <t>Unskilled/never employed</t>
  </si>
  <si>
    <t>Years education</t>
  </si>
  <si>
    <t>a</t>
  </si>
  <si>
    <t>b</t>
  </si>
  <si>
    <t>y</t>
  </si>
  <si>
    <t>Gender IQ Education Formula</t>
  </si>
  <si>
    <t>Number of Words to input into TOPF to get other scores</t>
  </si>
  <si>
    <t>Select which tool you are using STW-2 or Regression Formula</t>
  </si>
  <si>
    <t>Step 1</t>
  </si>
  <si>
    <t>Step 2</t>
  </si>
  <si>
    <t>means corrected</t>
  </si>
  <si>
    <t>doi:10.1093/arclin/acv052</t>
  </si>
  <si>
    <t xml:space="preserve">Story Memory </t>
  </si>
  <si>
    <t>T3</t>
  </si>
  <si>
    <t>T4</t>
  </si>
  <si>
    <t>Data to Input into TOPF Calculator to get IMI/DMI (on Tab 1)</t>
  </si>
  <si>
    <t>Ethnicity Code</t>
  </si>
  <si>
    <t>Education</t>
  </si>
  <si>
    <t>Years</t>
  </si>
  <si>
    <t>0=F 1=M</t>
  </si>
  <si>
    <t>1&lt;12y, 2=12, 3=13-15,4&gt;=15</t>
  </si>
  <si>
    <t>0 = cauc non-hisp, 1 = other</t>
  </si>
  <si>
    <t>B age</t>
  </si>
  <si>
    <t>B gen</t>
  </si>
  <si>
    <t>B ed</t>
  </si>
  <si>
    <t>B eth</t>
  </si>
  <si>
    <t>age</t>
  </si>
  <si>
    <t>gen</t>
  </si>
  <si>
    <t>ed</t>
  </si>
  <si>
    <t>eth</t>
  </si>
  <si>
    <t>int</t>
  </si>
  <si>
    <t>Set these in TOPF and Predicted Re-Test Scores Tabs</t>
  </si>
  <si>
    <t>Predicted Score</t>
  </si>
  <si>
    <t>Actual Score</t>
  </si>
  <si>
    <t>Difference</t>
  </si>
  <si>
    <t>SEest</t>
  </si>
  <si>
    <t>90% CI Significance</t>
  </si>
  <si>
    <t>Upper Limit</t>
  </si>
  <si>
    <t>Lower Limit</t>
  </si>
  <si>
    <t>Threshold Upper</t>
  </si>
  <si>
    <t>Threshold Lower</t>
  </si>
  <si>
    <t>LL LR</t>
  </si>
  <si>
    <t>SM LR</t>
  </si>
  <si>
    <t>Aggregate LR</t>
  </si>
  <si>
    <t>NC</t>
  </si>
  <si>
    <t>MCI</t>
  </si>
  <si>
    <t>RBANS Learning Ratio</t>
  </si>
  <si>
    <t>Means</t>
  </si>
  <si>
    <t>Normal Controls</t>
  </si>
  <si>
    <t>Mild Cognitive Impairment</t>
  </si>
  <si>
    <t>Alzheimer's Disease</t>
  </si>
  <si>
    <t>Education Years</t>
  </si>
  <si>
    <t>Patient's DOB</t>
  </si>
  <si>
    <t>Years of Education</t>
  </si>
  <si>
    <t>Ethnicity</t>
  </si>
  <si>
    <t>Ignore X</t>
  </si>
  <si>
    <t>. https://doi.org/10.1093/arclin/acab023</t>
  </si>
  <si>
    <t>Report Description</t>
  </si>
  <si>
    <t>Rounded Percentile</t>
  </si>
  <si>
    <t>Percentile to Scaled Range Converter</t>
  </si>
  <si>
    <t>Range of possible scores</t>
  </si>
  <si>
    <t>≤2nd%</t>
  </si>
  <si>
    <t>3rd-9th%</t>
  </si>
  <si>
    <t>10th-16th%</t>
  </si>
  <si>
    <t>Z Low</t>
  </si>
  <si>
    <t>Z High</t>
  </si>
  <si>
    <t>Including TOPF Z difference</t>
  </si>
  <si>
    <r>
      <t>17</t>
    </r>
    <r>
      <rPr>
        <b/>
        <vertAlign val="superscript"/>
        <sz val="11"/>
        <color theme="0" tint="-0.249977111117893"/>
        <rFont val="Arial"/>
        <family val="2"/>
      </rPr>
      <t>th</t>
    </r>
    <r>
      <rPr>
        <b/>
        <sz val="11"/>
        <color theme="0" tint="-0.249977111117893"/>
        <rFont val="Arial"/>
        <family val="2"/>
      </rPr>
      <t>-25</t>
    </r>
    <r>
      <rPr>
        <b/>
        <vertAlign val="superscript"/>
        <sz val="11"/>
        <color theme="0" tint="-0.249977111117893"/>
        <rFont val="Arial"/>
        <family val="2"/>
      </rPr>
      <t>th</t>
    </r>
    <r>
      <rPr>
        <b/>
        <sz val="11"/>
        <color theme="0" tint="-0.249977111117893"/>
        <rFont val="Arial"/>
        <family val="2"/>
      </rPr>
      <t>%</t>
    </r>
  </si>
  <si>
    <r>
      <t>26</t>
    </r>
    <r>
      <rPr>
        <b/>
        <vertAlign val="superscript"/>
        <sz val="11"/>
        <color theme="0" tint="-0.249977111117893"/>
        <rFont val="Arial"/>
        <family val="2"/>
      </rPr>
      <t>th</t>
    </r>
    <r>
      <rPr>
        <b/>
        <sz val="11"/>
        <color theme="0" tint="-0.249977111117893"/>
        <rFont val="Arial"/>
        <family val="2"/>
      </rPr>
      <t>-50</t>
    </r>
    <r>
      <rPr>
        <b/>
        <vertAlign val="superscript"/>
        <sz val="11"/>
        <color theme="0" tint="-0.249977111117893"/>
        <rFont val="Arial"/>
        <family val="2"/>
      </rPr>
      <t>th</t>
    </r>
    <r>
      <rPr>
        <b/>
        <sz val="11"/>
        <color theme="0" tint="-0.249977111117893"/>
        <rFont val="Arial"/>
        <family val="2"/>
      </rPr>
      <t>%</t>
    </r>
  </si>
  <si>
    <r>
      <t>51</t>
    </r>
    <r>
      <rPr>
        <b/>
        <vertAlign val="superscript"/>
        <sz val="11"/>
        <color theme="0" tint="-0.249977111117893"/>
        <rFont val="Arial"/>
        <family val="2"/>
      </rPr>
      <t>st</t>
    </r>
    <r>
      <rPr>
        <b/>
        <sz val="11"/>
        <color theme="0" tint="-0.249977111117893"/>
        <rFont val="Arial"/>
        <family val="2"/>
      </rPr>
      <t>-75</t>
    </r>
    <r>
      <rPr>
        <b/>
        <vertAlign val="superscript"/>
        <sz val="11"/>
        <color theme="0" tint="-0.249977111117893"/>
        <rFont val="Arial"/>
        <family val="2"/>
      </rPr>
      <t>th</t>
    </r>
    <r>
      <rPr>
        <b/>
        <sz val="11"/>
        <color theme="0" tint="-0.249977111117893"/>
        <rFont val="Arial"/>
        <family val="2"/>
      </rPr>
      <t>%</t>
    </r>
  </si>
  <si>
    <r>
      <t>&gt;75</t>
    </r>
    <r>
      <rPr>
        <b/>
        <vertAlign val="superscript"/>
        <sz val="11"/>
        <color theme="0" tint="-0.249977111117893"/>
        <rFont val="Arial"/>
        <family val="2"/>
      </rPr>
      <t>th</t>
    </r>
    <r>
      <rPr>
        <b/>
        <sz val="11"/>
        <color theme="0" tint="-0.249977111117893"/>
        <rFont val="Arial"/>
        <family val="2"/>
      </rPr>
      <t>%</t>
    </r>
  </si>
  <si>
    <t>TOPF Raw Score</t>
  </si>
  <si>
    <t>STW2 Raw Score</t>
  </si>
  <si>
    <t>30% of people with less than 12 years education have memory problems</t>
  </si>
  <si>
    <t>Binomial Distribution for 20 trials, with p=0.5 chance of correct answer</t>
  </si>
  <si>
    <t>5.77% chance of scoring this low (6 or less) if guessing or random (5 or less is statistically signifcantly not guessing at p&lt;0.05 so is suspicious for malingering)</t>
  </si>
  <si>
    <t>88.47% chance of scoring here if guessing/random - this is often memory problems where there is encoding problem, or guessing at random it is not possible to differentiate - hence use of effort markers</t>
  </si>
  <si>
    <t>5.77% chance of scoring 14 or more if guessing or random (15 or more is statistically signifcantly not guessing at p&lt;0.05 and is suggestive of some true recognition of words and implies cued retrieval - hence some memory encoding)</t>
  </si>
  <si>
    <t>Recognition Memory Score</t>
  </si>
  <si>
    <t>Probability of obtaining by guessing</t>
  </si>
  <si>
    <t>Fraction</t>
  </si>
  <si>
    <t>Probability</t>
  </si>
  <si>
    <t>D-KEFS Semantic Fluency</t>
  </si>
  <si>
    <t>RBANS Language</t>
  </si>
  <si>
    <t>RBANS Recognition Memory Probability</t>
  </si>
  <si>
    <t>RBANS Learning Ratios</t>
  </si>
  <si>
    <t>RBANS Delayed Memory</t>
  </si>
  <si>
    <t>RBANS Immediate Memory</t>
  </si>
  <si>
    <t>Sub-Domain\Domain</t>
  </si>
  <si>
    <t>Persev</t>
  </si>
  <si>
    <t>Set Loss</t>
  </si>
  <si>
    <t>Rep</t>
  </si>
  <si>
    <t>No. Error Types Noted:</t>
  </si>
  <si>
    <t>Syntax &lt; 9</t>
  </si>
  <si>
    <t>Semantics &lt;16</t>
  </si>
  <si>
    <t>Working Mem &lt;8</t>
  </si>
  <si>
    <t>Motor Speech &lt;25</t>
  </si>
  <si>
    <t>Syntax &lt;6</t>
  </si>
  <si>
    <t>Semantics &lt;13</t>
  </si>
  <si>
    <t>Phonology &lt;18</t>
  </si>
  <si>
    <t>Dx Marker</t>
  </si>
  <si>
    <t>Diagnostic Indicator</t>
  </si>
  <si>
    <t>Diagnostic Decision Tree</t>
  </si>
  <si>
    <t>https://doi.org/10.1093/braincomms/fcab299</t>
  </si>
  <si>
    <t>RBANS T1 and T2 Abnormal Difference Calculator (Hammers et al 2020 and Duff et al 2004 respectively)</t>
  </si>
  <si>
    <t>If this is the FIRST assessment, below are the scores (and ranges) the person should gain if they are to be retested and there are no degenerative changes over 12 months</t>
  </si>
  <si>
    <t>Hammers et al 2020</t>
  </si>
  <si>
    <t>TOPF/STW2/DRE</t>
  </si>
  <si>
    <t>Each year: 1 = F/T 0.5 = P/T</t>
  </si>
  <si>
    <t>Patient Salutation</t>
  </si>
  <si>
    <t>Patient First Name</t>
  </si>
  <si>
    <t>Patient Surname</t>
  </si>
  <si>
    <t>Formal Name</t>
  </si>
  <si>
    <t>Max Span</t>
  </si>
  <si>
    <t>Trial 3</t>
  </si>
  <si>
    <t>Trial 4</t>
  </si>
  <si>
    <t>Maximum Span</t>
  </si>
  <si>
    <t>RBANS Scores</t>
  </si>
  <si>
    <t>Enter →</t>
  </si>
  <si>
    <t>Select ↕</t>
  </si>
  <si>
    <r>
      <t xml:space="preserve">Only enter data into the </t>
    </r>
    <r>
      <rPr>
        <b/>
        <sz val="12"/>
        <color theme="0"/>
        <rFont val="Arial"/>
        <family val="2"/>
      </rPr>
      <t>white boxes</t>
    </r>
    <r>
      <rPr>
        <b/>
        <sz val="12"/>
        <color theme="1"/>
        <rFont val="Arial"/>
        <family val="2"/>
      </rPr>
      <t xml:space="preserve"> - do not edit any other numbers - select data from </t>
    </r>
    <r>
      <rPr>
        <b/>
        <sz val="12"/>
        <color rgb="FF00B0F0"/>
        <rFont val="Arial"/>
        <family val="2"/>
      </rPr>
      <t xml:space="preserve">blue </t>
    </r>
    <r>
      <rPr>
        <b/>
        <sz val="12"/>
        <color theme="1"/>
        <rFont val="Arial"/>
        <family val="2"/>
      </rPr>
      <t>drop down</t>
    </r>
  </si>
  <si>
    <t>Time (Seconds)</t>
  </si>
  <si>
    <t>Type A Errors</t>
  </si>
  <si>
    <t>Type B Errors</t>
  </si>
  <si>
    <t>Main FSIQ Estimator?</t>
  </si>
  <si>
    <t>Leave blank if not used</t>
  </si>
  <si>
    <t>Need to add formula that puts either raw score or etimated score into TOPF based on this switch</t>
  </si>
  <si>
    <t>POSITIVE PREDICTIVE VALUES</t>
  </si>
  <si>
    <t>NEGATIVE PREDICTIVE VALUES</t>
  </si>
  <si>
    <t>(LR+ x BR / 1+ (LR+ x BR))</t>
  </si>
  <si>
    <t>NPV</t>
  </si>
  <si>
    <t>of the population in question do not have COI</t>
  </si>
  <si>
    <t>Probability of Poor Effort / Performance Bias with PVT fail(s)</t>
  </si>
  <si>
    <t>pre-tests odds to post-test probability calculator</t>
  </si>
  <si>
    <t>Product rule of 1-Spec</t>
  </si>
  <si>
    <t>Chance of False Positive</t>
  </si>
  <si>
    <t>p=</t>
  </si>
  <si>
    <t>Linear Transformation (and to Area) Score Convertor</t>
  </si>
  <si>
    <t>Area to Linear Score Convertor</t>
  </si>
  <si>
    <t>D-KEFS Fluency</t>
  </si>
  <si>
    <t>Letter fluency</t>
  </si>
  <si>
    <t>F</t>
  </si>
  <si>
    <t>A</t>
  </si>
  <si>
    <t>S</t>
  </si>
  <si>
    <t>Animals</t>
  </si>
  <si>
    <t>Boys Names</t>
  </si>
  <si>
    <t>Correct Switches</t>
  </si>
  <si>
    <t>Repetitions</t>
  </si>
  <si>
    <t>Perseverations</t>
  </si>
  <si>
    <t>Set Loss Errors</t>
  </si>
  <si>
    <t>Switched Fluency</t>
  </si>
  <si>
    <t>HADS</t>
  </si>
  <si>
    <t>Trails 1</t>
  </si>
  <si>
    <t>Trails 2</t>
  </si>
  <si>
    <t>Trails 3</t>
  </si>
  <si>
    <t>Trails 4</t>
  </si>
  <si>
    <t>Trails 5</t>
  </si>
  <si>
    <t>Number Correct Words</t>
  </si>
  <si>
    <t>Date of Interview</t>
  </si>
  <si>
    <t>Principle Measure in use</t>
  </si>
  <si>
    <t xml:space="preserve">Figure 1. </t>
  </si>
  <si>
    <t>NHS Number</t>
  </si>
  <si>
    <t>Neuropsychological Assessment Report</t>
  </si>
  <si>
    <t>Disclaimer: The scores above are provided only for reference purposes; these should never be interpreted outside of the context of a clinical history and interview, and interpretation should only be undertaken by persons suitably experienced and qualified to the level required by the licence level of the tests undertaken (usually a Clinical Psychologist)</t>
  </si>
  <si>
    <t>Pronouns</t>
  </si>
  <si>
    <t>Example</t>
  </si>
  <si>
    <t>3.5 Attention, Executive Functions and Processing Speeds</t>
  </si>
  <si>
    <t>3.4 Language</t>
  </si>
  <si>
    <t>3.3 Memory</t>
  </si>
  <si>
    <t>3.2 Pre-Morbid Estimates and Overall Performance</t>
  </si>
  <si>
    <t>3.6 Visuospatial</t>
  </si>
  <si>
    <t>Switching Errors</t>
  </si>
  <si>
    <t>Individual D-KEFS…</t>
  </si>
  <si>
    <t>T Score</t>
  </si>
  <si>
    <t>60-80</t>
  </si>
  <si>
    <t>Normal</t>
  </si>
  <si>
    <t>Score Blank, 0-4</t>
  </si>
  <si>
    <t>Blanks</t>
  </si>
  <si>
    <t>Completed</t>
  </si>
  <si>
    <t>Weighted Average</t>
  </si>
  <si>
    <t>Calculated on Qualtrics</t>
  </si>
  <si>
    <t>No problems</t>
  </si>
  <si>
    <t>slightly more problems</t>
  </si>
  <si>
    <t xml:space="preserve">more difficulties </t>
  </si>
  <si>
    <t>much more difficulties</t>
  </si>
  <si>
    <t>no longer able to complete</t>
  </si>
  <si>
    <t>50-59.99</t>
  </si>
  <si>
    <t>40-49.99</t>
  </si>
  <si>
    <t>Moderate Problems</t>
  </si>
  <si>
    <t>Mild Problems</t>
  </si>
  <si>
    <t>20-39.99</t>
  </si>
  <si>
    <t>Severe Problems</t>
  </si>
  <si>
    <t>(uses item response theory)</t>
  </si>
  <si>
    <t>Clinical Cut-Off</t>
  </si>
  <si>
    <t>Total Score</t>
  </si>
  <si>
    <t>(LR- x (1-BR) / 1+ (LR- x (1-BR))</t>
  </si>
  <si>
    <t>Probability of Good Effort / Performance Bias with Passed PVTs</t>
  </si>
  <si>
    <t>Base Rate of Good Effort</t>
  </si>
  <si>
    <t>CHECK THIS</t>
  </si>
  <si>
    <t>PVT1</t>
  </si>
  <si>
    <t>PVT2</t>
  </si>
  <si>
    <t>PVT3</t>
  </si>
  <si>
    <t>PVT4</t>
  </si>
  <si>
    <t>Pre-test odds +</t>
  </si>
  <si>
    <t>Pre-test odds -</t>
  </si>
  <si>
    <t>LR+</t>
  </si>
  <si>
    <t>sens/1-spec</t>
  </si>
  <si>
    <t>LR-</t>
  </si>
  <si>
    <t>1-sens/spec</t>
  </si>
  <si>
    <t>spec/1-sens</t>
  </si>
  <si>
    <t>10.4103/0301-4738.49397</t>
  </si>
  <si>
    <t>DOI</t>
  </si>
  <si>
    <t>Post Test Odds</t>
  </si>
  <si>
    <t>Post Test Probability</t>
  </si>
  <si>
    <t>pto/1+pto</t>
  </si>
  <si>
    <r>
      <t xml:space="preserve">(this is included for statistical purposes only - use this, and do so </t>
    </r>
    <r>
      <rPr>
        <b/>
        <u/>
        <sz val="11"/>
        <color theme="0" tint="-0.499984740745262"/>
        <rFont val="Arial"/>
        <family val="2"/>
      </rPr>
      <t xml:space="preserve">extremely </t>
    </r>
    <r>
      <rPr>
        <sz val="11"/>
        <color theme="0" tint="-0.499984740745262"/>
        <rFont val="Arial"/>
        <family val="2"/>
      </rPr>
      <t xml:space="preserve">cautiously, </t>
    </r>
    <r>
      <rPr>
        <b/>
        <u/>
        <sz val="11"/>
        <color theme="0" tint="-0.499984740745262"/>
        <rFont val="Arial"/>
        <family val="2"/>
      </rPr>
      <t>if all the PVTs you administer are passed - because remember PVTs have poor sensitivity and are easily passed</t>
    </r>
    <r>
      <rPr>
        <sz val="11"/>
        <color theme="0" tint="-0.499984740745262"/>
        <rFont val="Arial"/>
        <family val="2"/>
      </rPr>
      <t>)</t>
    </r>
  </si>
  <si>
    <t>D-KEFS Trails</t>
  </si>
  <si>
    <t>Examples</t>
  </si>
  <si>
    <t xml:space="preserve">Do not change anything here except blue box on left - only enter data into the white boxes on FRONT PAGE </t>
  </si>
  <si>
    <t>Enter Qualtrics Calculated Score here</t>
  </si>
  <si>
    <t>Anxiety</t>
  </si>
  <si>
    <t>Depression</t>
  </si>
  <si>
    <t>Scores (/21)</t>
  </si>
  <si>
    <t>Mr</t>
  </si>
  <si>
    <t>Notes</t>
  </si>
  <si>
    <t>&lt;-------</t>
  </si>
  <si>
    <t>He/Him/His</t>
  </si>
  <si>
    <t>Handedness</t>
  </si>
  <si>
    <t>Driver</t>
  </si>
  <si>
    <t>non-driver</t>
  </si>
  <si>
    <t>ambidextrous</t>
  </si>
  <si>
    <t>Suspected Level of Impairment</t>
  </si>
  <si>
    <t>: https://doi.org/10.1080/13854046.2020.1778790</t>
  </si>
  <si>
    <t>RBANS Digit Span Scaled Score (DSSS)</t>
  </si>
  <si>
    <t>Digit Span - Scaled Score</t>
  </si>
  <si>
    <t>Standard Measures</t>
  </si>
  <si>
    <t>0,-1,-2,-3 (98.7,86.8,71.6,55.3)</t>
  </si>
  <si>
    <t>To use MSO you must select this --------&gt;</t>
  </si>
  <si>
    <t>RBANS Total Scale vs FSIQ Estimate (impairment)</t>
  </si>
  <si>
    <t>Standard</t>
  </si>
  <si>
    <r>
      <t>Cut off (</t>
    </r>
    <r>
      <rPr>
        <sz val="11"/>
        <color theme="1"/>
        <rFont val="Calibri"/>
        <family val="2"/>
      </rPr>
      <t>≤</t>
    </r>
    <r>
      <rPr>
        <sz val="12.65"/>
        <color theme="1"/>
        <rFont val="Arial"/>
        <family val="2"/>
      </rPr>
      <t>)</t>
    </r>
  </si>
  <si>
    <t>Specificity at this cut-off</t>
  </si>
  <si>
    <r>
      <t>Cut off (</t>
    </r>
    <r>
      <rPr>
        <sz val="11"/>
        <color theme="1"/>
        <rFont val="Calibri"/>
        <family val="2"/>
      </rPr>
      <t>≥</t>
    </r>
    <r>
      <rPr>
        <sz val="12.65"/>
        <color theme="1"/>
        <rFont val="Arial"/>
        <family val="2"/>
      </rPr>
      <t>)</t>
    </r>
  </si>
  <si>
    <t>Detials of MSO Cut Offs</t>
  </si>
  <si>
    <t>Better for Parkinson's/MCI - caution in mod/severe memory problems - see MSO instead</t>
  </si>
  <si>
    <t>For use with Dementia (not MCI see MSO), but caution in Parkinson's</t>
  </si>
  <si>
    <t>Core Embedded Measures (use EI or ES)</t>
  </si>
  <si>
    <t xml:space="preserve">ES MSO </t>
  </si>
  <si>
    <t>EI MSO</t>
  </si>
  <si>
    <t>DSSS MSO</t>
  </si>
  <si>
    <t>Sentence Repetition Test (SRT)</t>
  </si>
  <si>
    <t>Coin in the Hand (CITH)</t>
  </si>
  <si>
    <t>Reliable Digit Span (RDS)</t>
  </si>
  <si>
    <t>Additional Measures Comprehensive</t>
  </si>
  <si>
    <t>Number of sentences correctly repeated</t>
  </si>
  <si>
    <t>RDS MSO</t>
  </si>
  <si>
    <t>CITH MSO</t>
  </si>
  <si>
    <t>SRT MSO</t>
  </si>
  <si>
    <t>Cut off (≤)</t>
  </si>
  <si>
    <t>Suitable?</t>
  </si>
  <si>
    <t>Pass/Fail/ N/A /Not Used</t>
  </si>
  <si>
    <t>Pass/Fail/Not Used</t>
  </si>
  <si>
    <t>Additional Measures Brief</t>
  </si>
  <si>
    <t>FPR</t>
  </si>
  <si>
    <t>Product Rule of 1-Specificity using Embedded and Quick Tests</t>
  </si>
  <si>
    <t>chance of false positive</t>
  </si>
  <si>
    <t>Moderate Dementia</t>
  </si>
  <si>
    <t>Caution in logopenic aphasia as this is key impairment</t>
  </si>
  <si>
    <t>Bar Charts RBANS Scaled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</si>
</sst>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
    <numFmt numFmtId="166" formatCode="0.0"/>
    <numFmt numFmtId="167" formatCode="0.000000%"/>
    <numFmt numFmtId="168" formatCode="#\ ???/???"/>
    <numFmt numFmtId="169" formatCode="0.0000%"/>
    <numFmt numFmtId="170" formatCode="0.00000"/>
    <numFmt numFmtId="171" formatCode="0.00000000"/>
  </numFmts>
  <fonts count="111"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i/>
      <sz val="10"/>
      <color theme="1"/>
      <name val="Arial"/>
      <family val="2"/>
    </font>
    <font>
      <i/>
      <sz val="11"/>
      <color theme="1"/>
      <name val="Calibri"/>
      <family val="2"/>
      <scheme val="minor"/>
    </font>
    <font>
      <sz val="10"/>
      <color theme="1"/>
      <name val="Arial"/>
      <family val="2"/>
    </font>
    <font>
      <b/>
      <i/>
      <sz val="11"/>
      <color theme="1"/>
      <name val="Calibri"/>
      <family val="2"/>
      <scheme val="minor"/>
    </font>
    <font>
      <sz val="11"/>
      <color theme="1"/>
      <name val="Arial"/>
      <family val="2"/>
    </font>
    <font>
      <b/>
      <i/>
      <sz val="11"/>
      <color theme="1"/>
      <name val="Arial"/>
      <family val="2"/>
    </font>
    <font>
      <sz val="8"/>
      <color theme="1"/>
      <name val="Arial"/>
      <family val="2"/>
    </font>
    <font>
      <i/>
      <sz val="8"/>
      <color theme="1"/>
      <name val="Arial"/>
      <family val="2"/>
    </font>
    <font>
      <i/>
      <vertAlign val="subscript"/>
      <sz val="8"/>
      <color theme="1"/>
      <name val="Arial"/>
      <family val="2"/>
    </font>
    <font>
      <b/>
      <sz val="12"/>
      <color rgb="FF000000"/>
      <name val="Arial"/>
      <family val="2"/>
    </font>
    <font>
      <b/>
      <sz val="11"/>
      <color theme="1"/>
      <name val="Arial"/>
      <family val="2"/>
    </font>
    <font>
      <i/>
      <sz val="11"/>
      <color theme="1"/>
      <name val="Arial"/>
      <family val="2"/>
    </font>
    <font>
      <i/>
      <sz val="10"/>
      <color theme="1"/>
      <name val="Arial"/>
      <family val="2"/>
    </font>
    <font>
      <b/>
      <sz val="11"/>
      <color rgb="FFFFC000"/>
      <name val="Calibri"/>
      <family val="2"/>
      <scheme val="minor"/>
    </font>
    <font>
      <b/>
      <sz val="11"/>
      <color rgb="FF00B0F0"/>
      <name val="Calibri"/>
      <family val="2"/>
      <scheme val="minor"/>
    </font>
    <font>
      <b/>
      <sz val="11"/>
      <color theme="7"/>
      <name val="Calibri"/>
      <family val="2"/>
      <scheme val="minor"/>
    </font>
    <font>
      <b/>
      <sz val="11"/>
      <color rgb="FFFF0000"/>
      <name val="Calibri"/>
      <family val="2"/>
      <scheme val="minor"/>
    </font>
    <font>
      <b/>
      <sz val="11"/>
      <color theme="9" tint="0.59999389629810485"/>
      <name val="Calibri"/>
      <family val="2"/>
      <scheme val="minor"/>
    </font>
    <font>
      <sz val="11"/>
      <color rgb="FF000000"/>
      <name val="Arial"/>
      <family val="2"/>
    </font>
    <font>
      <b/>
      <sz val="9"/>
      <color theme="1"/>
      <name val="Arial"/>
      <family val="2"/>
    </font>
    <font>
      <b/>
      <sz val="11"/>
      <name val="Arial"/>
      <family val="2"/>
    </font>
    <font>
      <sz val="12"/>
      <color theme="1"/>
      <name val="Arial"/>
      <family val="2"/>
    </font>
    <font>
      <i/>
      <sz val="12"/>
      <color theme="1"/>
      <name val="Arial"/>
      <family val="2"/>
    </font>
    <font>
      <b/>
      <sz val="12"/>
      <color theme="1"/>
      <name val="Arial"/>
      <family val="2"/>
    </font>
    <font>
      <b/>
      <sz val="11"/>
      <color rgb="FF000000"/>
      <name val="Arial"/>
      <family val="2"/>
    </font>
    <font>
      <b/>
      <i/>
      <sz val="11"/>
      <color rgb="FF000000"/>
      <name val="Arial"/>
      <family val="2"/>
    </font>
    <font>
      <b/>
      <sz val="12"/>
      <color theme="0"/>
      <name val="Arial"/>
      <family val="2"/>
    </font>
    <font>
      <u/>
      <sz val="11"/>
      <color theme="10"/>
      <name val="Calibri"/>
      <family val="2"/>
      <scheme val="minor"/>
    </font>
    <font>
      <sz val="12"/>
      <color theme="0" tint="-0.14999847407452621"/>
      <name val="Arial"/>
      <family val="2"/>
    </font>
    <font>
      <i/>
      <sz val="12"/>
      <color theme="0" tint="-0.14999847407452621"/>
      <name val="Arial"/>
      <family val="2"/>
    </font>
    <font>
      <b/>
      <sz val="12"/>
      <color theme="0" tint="-0.14999847407452621"/>
      <name val="Arial"/>
      <family val="2"/>
    </font>
    <font>
      <b/>
      <sz val="12"/>
      <color rgb="FF00B0F0"/>
      <name val="Arial"/>
      <family val="2"/>
    </font>
    <font>
      <b/>
      <sz val="11"/>
      <color theme="0"/>
      <name val="Arial"/>
      <family val="2"/>
    </font>
    <font>
      <sz val="11"/>
      <name val="Arial"/>
      <family val="2"/>
    </font>
    <font>
      <b/>
      <i/>
      <sz val="9"/>
      <color rgb="FF212121"/>
      <name val="Arial"/>
      <family val="2"/>
    </font>
    <font>
      <b/>
      <sz val="12"/>
      <name val="Arial"/>
      <family val="2"/>
    </font>
    <font>
      <b/>
      <sz val="11"/>
      <color theme="8"/>
      <name val="Arial"/>
      <family val="2"/>
    </font>
    <font>
      <b/>
      <sz val="11"/>
      <color rgb="FFFFC000"/>
      <name val="Arial"/>
      <family val="2"/>
    </font>
    <font>
      <b/>
      <sz val="12"/>
      <color rgb="FFFF0000"/>
      <name val="Calibri"/>
      <family val="2"/>
      <scheme val="minor"/>
    </font>
    <font>
      <b/>
      <sz val="16"/>
      <color theme="1"/>
      <name val="Calibri"/>
      <family val="2"/>
      <scheme val="minor"/>
    </font>
    <font>
      <b/>
      <sz val="14"/>
      <color rgb="FF0070C0"/>
      <name val="Arial"/>
      <family val="2"/>
    </font>
    <font>
      <b/>
      <sz val="14"/>
      <color theme="5"/>
      <name val="Arial"/>
      <family val="2"/>
    </font>
    <font>
      <b/>
      <sz val="11"/>
      <color theme="1"/>
      <name val="Calibri"/>
      <family val="2"/>
    </font>
    <font>
      <b/>
      <sz val="14"/>
      <color theme="1"/>
      <name val="Arial"/>
      <family val="2"/>
    </font>
    <font>
      <b/>
      <sz val="14"/>
      <color theme="0"/>
      <name val="Arial"/>
      <family val="2"/>
    </font>
    <font>
      <b/>
      <sz val="14"/>
      <color rgb="FFFFFF00"/>
      <name val="Arial"/>
      <family val="2"/>
    </font>
    <font>
      <sz val="11"/>
      <color theme="1"/>
      <name val="Calibri"/>
      <family val="2"/>
    </font>
    <font>
      <b/>
      <u/>
      <sz val="11"/>
      <color theme="1"/>
      <name val="Arial"/>
      <family val="2"/>
    </font>
    <font>
      <sz val="11"/>
      <color theme="0" tint="-0.34998626667073579"/>
      <name val="Arial"/>
      <family val="2"/>
    </font>
    <font>
      <i/>
      <sz val="11"/>
      <color theme="0" tint="-0.34998626667073579"/>
      <name val="Arial"/>
      <family val="2"/>
    </font>
    <font>
      <i/>
      <sz val="11"/>
      <name val="Arial"/>
      <family val="2"/>
    </font>
    <font>
      <b/>
      <sz val="18"/>
      <color theme="1"/>
      <name val="Calibri"/>
      <family val="2"/>
      <scheme val="minor"/>
    </font>
    <font>
      <vertAlign val="superscript"/>
      <sz val="11"/>
      <color theme="1"/>
      <name val="Calibri"/>
      <family val="2"/>
      <scheme val="minor"/>
    </font>
    <font>
      <vertAlign val="superscript"/>
      <sz val="11"/>
      <color theme="1"/>
      <name val="Calibri"/>
      <family val="2"/>
    </font>
    <font>
      <b/>
      <sz val="9"/>
      <name val="Arial"/>
      <family val="2"/>
    </font>
    <font>
      <sz val="9"/>
      <name val="Arial"/>
      <family val="2"/>
    </font>
    <font>
      <sz val="8"/>
      <name val="Arial"/>
      <family val="2"/>
    </font>
    <font>
      <i/>
      <sz val="9"/>
      <name val="Arial"/>
      <family val="2"/>
    </font>
    <font>
      <sz val="10"/>
      <name val="Arial"/>
      <family val="2"/>
    </font>
    <font>
      <b/>
      <sz val="11"/>
      <color rgb="FFFF0000"/>
      <name val="Arial"/>
      <family val="2"/>
    </font>
    <font>
      <sz val="12"/>
      <name val="Arial"/>
      <family val="2"/>
    </font>
    <font>
      <sz val="12"/>
      <color theme="1"/>
      <name val="Calibri"/>
      <family val="2"/>
      <scheme val="minor"/>
    </font>
    <font>
      <sz val="11"/>
      <color rgb="FF0070C0"/>
      <name val="Arial"/>
      <family val="2"/>
    </font>
    <font>
      <sz val="11"/>
      <color theme="0"/>
      <name val="Arial"/>
      <family val="2"/>
    </font>
    <font>
      <sz val="11"/>
      <color theme="9" tint="-0.249977111117893"/>
      <name val="Arial"/>
      <family val="2"/>
    </font>
    <font>
      <sz val="11"/>
      <color theme="0" tint="-0.499984740745262"/>
      <name val="Calibri"/>
      <family val="2"/>
      <scheme val="minor"/>
    </font>
    <font>
      <b/>
      <sz val="11"/>
      <color theme="0" tint="-0.499984740745262"/>
      <name val="Arial"/>
      <family val="2"/>
    </font>
    <font>
      <sz val="11"/>
      <color theme="0" tint="-0.499984740745262"/>
      <name val="Arial"/>
      <family val="2"/>
    </font>
    <font>
      <b/>
      <sz val="11"/>
      <color theme="9" tint="0.39997558519241921"/>
      <name val="Calibri"/>
      <family val="2"/>
      <scheme val="minor"/>
    </font>
    <font>
      <i/>
      <sz val="9"/>
      <color theme="0" tint="-0.14999847407452621"/>
      <name val="Arial"/>
      <family val="2"/>
    </font>
    <font>
      <sz val="6"/>
      <color theme="1"/>
      <name val="Arial"/>
      <family val="2"/>
    </font>
    <font>
      <sz val="11"/>
      <color theme="0" tint="-4.9989318521683403E-2"/>
      <name val="Calibri"/>
      <family val="2"/>
      <scheme val="minor"/>
    </font>
    <font>
      <i/>
      <sz val="11"/>
      <color theme="0" tint="-4.9989318521683403E-2"/>
      <name val="Calibri"/>
      <family val="2"/>
      <scheme val="minor"/>
    </font>
    <font>
      <b/>
      <sz val="11"/>
      <color theme="0" tint="-4.9989318521683403E-2"/>
      <name val="Calibri"/>
      <family val="2"/>
      <scheme val="minor"/>
    </font>
    <font>
      <sz val="11"/>
      <color theme="0" tint="-0.14999847407452621"/>
      <name val="Calibri"/>
      <family val="2"/>
      <scheme val="minor"/>
    </font>
    <font>
      <i/>
      <sz val="11"/>
      <color theme="0" tint="-0.14999847407452621"/>
      <name val="Calibri"/>
      <family val="2"/>
      <scheme val="minor"/>
    </font>
    <font>
      <b/>
      <sz val="11"/>
      <color theme="0" tint="-0.14999847407452621"/>
      <name val="Calibri"/>
      <family val="2"/>
      <scheme val="minor"/>
    </font>
    <font>
      <b/>
      <sz val="11"/>
      <color theme="0" tint="-0.249977111117893"/>
      <name val="Arial"/>
      <family val="2"/>
    </font>
    <font>
      <sz val="11"/>
      <color theme="0" tint="-0.249977111117893"/>
      <name val="Calibri"/>
      <family val="2"/>
      <scheme val="minor"/>
    </font>
    <font>
      <sz val="11"/>
      <color theme="0" tint="-0.249977111117893"/>
      <name val="Arial"/>
      <family val="2"/>
    </font>
    <font>
      <b/>
      <i/>
      <sz val="11"/>
      <color theme="0" tint="-0.249977111117893"/>
      <name val="Arial"/>
      <family val="2"/>
    </font>
    <font>
      <i/>
      <sz val="11"/>
      <color theme="0" tint="-0.249977111117893"/>
      <name val="Arial"/>
      <family val="2"/>
    </font>
    <font>
      <i/>
      <sz val="10"/>
      <color theme="0" tint="-0.249977111117893"/>
      <name val="Arial"/>
      <family val="2"/>
    </font>
    <font>
      <b/>
      <sz val="13"/>
      <color theme="0" tint="-0.249977111117893"/>
      <name val="Helvetica"/>
    </font>
    <font>
      <b/>
      <vertAlign val="superscript"/>
      <sz val="11"/>
      <color theme="0" tint="-0.249977111117893"/>
      <name val="Arial"/>
      <family val="2"/>
    </font>
    <font>
      <b/>
      <i/>
      <sz val="11"/>
      <name val="Arial"/>
      <family val="2"/>
    </font>
    <font>
      <b/>
      <sz val="9"/>
      <color theme="1"/>
      <name val="Calibri"/>
      <family val="2"/>
      <scheme val="minor"/>
    </font>
    <font>
      <sz val="11"/>
      <color theme="0" tint="-0.14999847407452621"/>
      <name val="Arial"/>
      <family val="2"/>
    </font>
    <font>
      <b/>
      <sz val="11"/>
      <color theme="0" tint="-0.14999847407452621"/>
      <name val="Arial"/>
      <family val="2"/>
    </font>
    <font>
      <u/>
      <sz val="8"/>
      <color theme="10"/>
      <name val="Calibri"/>
      <family val="2"/>
      <scheme val="minor"/>
    </font>
    <font>
      <i/>
      <sz val="8"/>
      <color theme="9" tint="-0.249977111117893"/>
      <name val="Arial"/>
      <family val="2"/>
    </font>
    <font>
      <i/>
      <sz val="8"/>
      <color rgb="FFFF0000"/>
      <name val="Arial"/>
      <family val="2"/>
    </font>
    <font>
      <b/>
      <sz val="8"/>
      <color theme="1"/>
      <name val="Arial"/>
      <family val="2"/>
    </font>
    <font>
      <b/>
      <i/>
      <sz val="8"/>
      <color theme="1"/>
      <name val="Arial"/>
      <family val="2"/>
    </font>
    <font>
      <sz val="8"/>
      <color theme="1"/>
      <name val="Calibri"/>
      <family val="2"/>
      <scheme val="minor"/>
    </font>
    <font>
      <i/>
      <sz val="8"/>
      <color theme="4" tint="-0.249977111117893"/>
      <name val="Arial"/>
      <family val="2"/>
    </font>
    <font>
      <u/>
      <sz val="11"/>
      <color theme="1"/>
      <name val="Arial"/>
      <family val="2"/>
    </font>
    <font>
      <sz val="8"/>
      <name val="Calibri"/>
      <family val="2"/>
      <scheme val="minor"/>
    </font>
    <font>
      <b/>
      <sz val="11"/>
      <color theme="0" tint="-0.34998626667073579"/>
      <name val="Arial"/>
      <family val="2"/>
    </font>
    <font>
      <b/>
      <u/>
      <sz val="11"/>
      <color theme="0" tint="-0.499984740745262"/>
      <name val="Arial"/>
      <family val="2"/>
    </font>
    <font>
      <i/>
      <sz val="11"/>
      <color rgb="FF000000"/>
      <name val="Arial"/>
      <family val="2"/>
    </font>
    <font>
      <sz val="12.65"/>
      <color theme="1"/>
      <name val="Arial"/>
      <family val="2"/>
    </font>
    <font>
      <i/>
      <sz val="9"/>
      <color theme="1"/>
      <name val="Arial"/>
      <family val="2"/>
    </font>
    <font>
      <sz val="9"/>
      <color theme="0" tint="-4.9989318521683403E-2"/>
      <name val="Arial"/>
      <family val="2"/>
    </font>
    <font>
      <sz val="9"/>
      <color theme="1"/>
      <name val="Arial"/>
      <family val="2"/>
    </font>
    <font>
      <i/>
      <sz val="9"/>
      <color theme="1"/>
      <name val="Calibri"/>
      <family val="2"/>
      <scheme val="minor"/>
    </font>
    <font>
      <sz val="10"/>
      <color theme="1"/>
      <name val="Calibri"/>
      <family val="2"/>
      <scheme val="minor"/>
    </font>
  </fonts>
  <fills count="29">
    <fill>
      <patternFill patternType="none"/>
    </fill>
    <fill>
      <patternFill patternType="gray125"/>
    </fill>
    <fill>
      <patternFill patternType="solid">
        <fgColor theme="0" tint="-0.14999847407452621"/>
        <bgColor indexed="64"/>
      </patternFill>
    </fill>
    <fill>
      <patternFill patternType="solid">
        <fgColor rgb="FFE490B4"/>
        <bgColor indexed="64"/>
      </patternFill>
    </fill>
    <fill>
      <patternFill patternType="solid">
        <fgColor theme="0"/>
        <bgColor indexed="64"/>
      </patternFill>
    </fill>
    <fill>
      <patternFill patternType="solid">
        <fgColor rgb="FF15A78B"/>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F6BCCF"/>
        <bgColor indexed="64"/>
      </patternFill>
    </fill>
    <fill>
      <patternFill patternType="solid">
        <fgColor rgb="FF92D050"/>
        <bgColor indexed="64"/>
      </patternFill>
    </fill>
    <fill>
      <patternFill patternType="solid">
        <fgColor rgb="FFCC990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rgb="FF00B050"/>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rgb="FFFF6699"/>
        <bgColor indexed="64"/>
      </patternFill>
    </fill>
    <fill>
      <patternFill patternType="solid">
        <fgColor rgb="FFFF0000"/>
        <bgColor indexed="64"/>
      </patternFill>
    </fill>
    <fill>
      <patternFill patternType="solid">
        <fgColor rgb="FF00B0F0"/>
        <bgColor indexed="64"/>
      </patternFill>
    </fill>
    <fill>
      <patternFill patternType="solid">
        <fgColor theme="0" tint="-4.9989318521683403E-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9"/>
        <bgColor indexed="64"/>
      </patternFill>
    </fill>
    <fill>
      <patternFill patternType="solid">
        <fgColor theme="7" tint="-0.249977111117893"/>
        <bgColor indexed="64"/>
      </patternFill>
    </fill>
    <fill>
      <patternFill patternType="solid">
        <fgColor theme="2" tint="-0.749992370372631"/>
        <bgColor indexed="64"/>
      </patternFill>
    </fill>
    <fill>
      <patternFill patternType="solid">
        <fgColor theme="3" tint="0.39997558519241921"/>
        <bgColor indexed="64"/>
      </patternFill>
    </fill>
  </fills>
  <borders count="7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thin">
        <color indexed="64"/>
      </top>
      <bottom/>
      <diagonal/>
    </border>
    <border>
      <left/>
      <right style="thin">
        <color indexed="64"/>
      </right>
      <top style="medium">
        <color indexed="64"/>
      </top>
      <bottom/>
      <diagonal/>
    </border>
    <border>
      <left/>
      <right style="medium">
        <color indexed="64"/>
      </right>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thin">
        <color indexed="64"/>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3">
    <xf numFmtId="0" fontId="0" fillId="0" borderId="0"/>
    <xf numFmtId="9" fontId="1" fillId="0" borderId="0" applyFont="0" applyFill="0" applyBorder="0" applyAlignment="0" applyProtection="0"/>
    <xf numFmtId="0" fontId="31" fillId="0" borderId="0" applyNumberFormat="0" applyFill="0" applyBorder="0" applyAlignment="0" applyProtection="0"/>
  </cellStyleXfs>
  <cellXfs count="916">
    <xf numFmtId="0" fontId="0" fillId="0" borderId="0" xfId="0"/>
    <xf numFmtId="0" fontId="0" fillId="0" borderId="1" xfId="0" applyBorder="1"/>
    <xf numFmtId="0" fontId="7" fillId="2" borderId="1" xfId="0" applyFont="1" applyFill="1" applyBorder="1" applyAlignment="1">
      <alignment horizontal="center"/>
    </xf>
    <xf numFmtId="0" fontId="8" fillId="2" borderId="4" xfId="0" applyFont="1" applyFill="1" applyBorder="1" applyAlignment="1">
      <alignment horizontal="center"/>
    </xf>
    <xf numFmtId="2" fontId="9" fillId="2" borderId="1" xfId="0" applyNumberFormat="1" applyFont="1" applyFill="1" applyBorder="1" applyAlignment="1">
      <alignment horizontal="center"/>
    </xf>
    <xf numFmtId="0" fontId="2" fillId="0" borderId="0" xfId="0" applyFont="1"/>
    <xf numFmtId="0" fontId="10" fillId="2" borderId="0" xfId="0" applyFont="1" applyFill="1"/>
    <xf numFmtId="0" fontId="6" fillId="0" borderId="1" xfId="0" applyFont="1" applyBorder="1" applyAlignment="1">
      <alignment horizontal="center"/>
    </xf>
    <xf numFmtId="0" fontId="6" fillId="0" borderId="1" xfId="0" applyFont="1" applyBorder="1"/>
    <xf numFmtId="0" fontId="3" fillId="10" borderId="1" xfId="0" applyFont="1" applyFill="1" applyBorder="1"/>
    <xf numFmtId="0" fontId="3" fillId="10" borderId="1" xfId="0" applyFont="1" applyFill="1" applyBorder="1" applyAlignment="1">
      <alignment horizontal="center"/>
    </xf>
    <xf numFmtId="0" fontId="6" fillId="0" borderId="1" xfId="1" applyNumberFormat="1" applyFont="1" applyBorder="1" applyAlignment="1">
      <alignment horizontal="center"/>
    </xf>
    <xf numFmtId="9" fontId="6" fillId="0" borderId="1" xfId="1" applyFont="1" applyBorder="1"/>
    <xf numFmtId="0" fontId="0" fillId="0" borderId="0" xfId="0" applyAlignment="1">
      <alignment horizontal="center"/>
    </xf>
    <xf numFmtId="0" fontId="8" fillId="0" borderId="0" xfId="0" applyFont="1"/>
    <xf numFmtId="0" fontId="14" fillId="11" borderId="1" xfId="0" applyFont="1" applyFill="1" applyBorder="1"/>
    <xf numFmtId="0" fontId="8" fillId="0" borderId="1" xfId="0" applyFont="1" applyBorder="1" applyAlignment="1">
      <alignment horizontal="center"/>
    </xf>
    <xf numFmtId="0" fontId="14" fillId="12" borderId="1" xfId="0" applyFont="1" applyFill="1" applyBorder="1"/>
    <xf numFmtId="0" fontId="14" fillId="2" borderId="1" xfId="0" applyFont="1" applyFill="1" applyBorder="1" applyAlignment="1">
      <alignment horizontal="center"/>
    </xf>
    <xf numFmtId="0" fontId="6" fillId="2" borderId="1" xfId="0" applyFont="1" applyFill="1" applyBorder="1"/>
    <xf numFmtId="0" fontId="3" fillId="2" borderId="4" xfId="0" applyFont="1" applyFill="1" applyBorder="1" applyAlignment="1">
      <alignment horizontal="center"/>
    </xf>
    <xf numFmtId="0" fontId="16" fillId="2" borderId="1" xfId="0" applyFont="1" applyFill="1" applyBorder="1" applyAlignment="1">
      <alignment horizontal="center"/>
    </xf>
    <xf numFmtId="0" fontId="9" fillId="2" borderId="1" xfId="0" applyFont="1" applyFill="1" applyBorder="1" applyAlignment="1">
      <alignment horizontal="center"/>
    </xf>
    <xf numFmtId="0" fontId="14" fillId="2" borderId="4" xfId="0" applyFont="1" applyFill="1" applyBorder="1" applyAlignment="1">
      <alignment horizontal="center"/>
    </xf>
    <xf numFmtId="0" fontId="8" fillId="8" borderId="4" xfId="0" applyFont="1" applyFill="1" applyBorder="1" applyAlignment="1">
      <alignment horizontal="center"/>
    </xf>
    <xf numFmtId="0" fontId="9" fillId="8" borderId="1" xfId="0" applyFont="1" applyFill="1" applyBorder="1" applyAlignment="1">
      <alignment horizontal="center"/>
    </xf>
    <xf numFmtId="0" fontId="9" fillId="9" borderId="1" xfId="0" applyFont="1" applyFill="1" applyBorder="1" applyAlignment="1">
      <alignment horizontal="center"/>
    </xf>
    <xf numFmtId="0" fontId="6" fillId="13" borderId="1" xfId="0" applyFont="1" applyFill="1" applyBorder="1"/>
    <xf numFmtId="0" fontId="7" fillId="15" borderId="1" xfId="0" applyFont="1" applyFill="1" applyBorder="1" applyAlignment="1">
      <alignment horizontal="center"/>
    </xf>
    <xf numFmtId="0" fontId="7" fillId="2" borderId="4" xfId="0" applyFont="1" applyFill="1" applyBorder="1" applyAlignment="1">
      <alignment horizontal="center"/>
    </xf>
    <xf numFmtId="0" fontId="6" fillId="0" borderId="0" xfId="0" applyFont="1"/>
    <xf numFmtId="0" fontId="17" fillId="0" borderId="0" xfId="0" applyFont="1"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20" fillId="0" borderId="0" xfId="0" applyFont="1" applyAlignment="1">
      <alignment vertical="center" wrapText="1"/>
    </xf>
    <xf numFmtId="0" fontId="21" fillId="0" borderId="0" xfId="0" applyFont="1" applyAlignment="1">
      <alignment vertical="center" wrapText="1"/>
    </xf>
    <xf numFmtId="0" fontId="0" fillId="0" borderId="0" xfId="0" applyAlignment="1">
      <alignment horizontal="left" indent="2"/>
    </xf>
    <xf numFmtId="0" fontId="3" fillId="3" borderId="1" xfId="0" applyFont="1" applyFill="1" applyBorder="1" applyAlignment="1">
      <alignment horizontal="center"/>
    </xf>
    <xf numFmtId="0" fontId="8" fillId="0" borderId="9" xfId="0" applyFont="1" applyBorder="1" applyAlignment="1">
      <alignment horizontal="center"/>
    </xf>
    <xf numFmtId="0" fontId="0" fillId="2" borderId="0" xfId="0" applyFill="1"/>
    <xf numFmtId="0" fontId="0" fillId="16" borderId="0" xfId="0" applyFill="1"/>
    <xf numFmtId="0" fontId="2" fillId="16" borderId="1" xfId="0" applyFont="1" applyFill="1" applyBorder="1"/>
    <xf numFmtId="0" fontId="0" fillId="16" borderId="1" xfId="0" applyFill="1" applyBorder="1"/>
    <xf numFmtId="0" fontId="14" fillId="12" borderId="1" xfId="0" applyFont="1" applyFill="1" applyBorder="1" applyAlignment="1">
      <alignment horizontal="center"/>
    </xf>
    <xf numFmtId="0" fontId="24" fillId="2" borderId="1" xfId="0" applyFont="1" applyFill="1" applyBorder="1" applyAlignment="1">
      <alignment horizontal="center"/>
    </xf>
    <xf numFmtId="0" fontId="3" fillId="2" borderId="1" xfId="0" applyFont="1" applyFill="1" applyBorder="1"/>
    <xf numFmtId="166" fontId="8" fillId="2" borderId="1" xfId="0" applyNumberFormat="1" applyFont="1" applyFill="1" applyBorder="1" applyAlignment="1">
      <alignment horizontal="center" vertical="center" wrapText="1"/>
    </xf>
    <xf numFmtId="166" fontId="8" fillId="2" borderId="1" xfId="0" applyNumberFormat="1" applyFont="1" applyFill="1" applyBorder="1" applyAlignment="1">
      <alignment horizontal="center"/>
    </xf>
    <xf numFmtId="0" fontId="6" fillId="2" borderId="1" xfId="0" applyFont="1" applyFill="1" applyBorder="1" applyAlignment="1">
      <alignment horizontal="center"/>
    </xf>
    <xf numFmtId="2" fontId="0" fillId="0" borderId="1" xfId="0" applyNumberFormat="1" applyBorder="1"/>
    <xf numFmtId="0" fontId="5" fillId="16" borderId="1" xfId="0" applyFont="1" applyFill="1" applyBorder="1" applyAlignment="1">
      <alignment horizontal="center"/>
    </xf>
    <xf numFmtId="0" fontId="5" fillId="16" borderId="1" xfId="0" applyFont="1" applyFill="1" applyBorder="1"/>
    <xf numFmtId="0" fontId="14" fillId="14" borderId="1" xfId="0" applyFont="1" applyFill="1" applyBorder="1"/>
    <xf numFmtId="0" fontId="2" fillId="0" borderId="0" xfId="0" applyFont="1" applyAlignment="1">
      <alignment horizontal="center"/>
    </xf>
    <xf numFmtId="0" fontId="25" fillId="17" borderId="17" xfId="0" applyFont="1" applyFill="1" applyBorder="1"/>
    <xf numFmtId="0" fontId="25" fillId="17" borderId="18" xfId="0" applyFont="1" applyFill="1" applyBorder="1"/>
    <xf numFmtId="0" fontId="25" fillId="17" borderId="0" xfId="0" applyFont="1" applyFill="1"/>
    <xf numFmtId="0" fontId="26" fillId="17" borderId="0" xfId="0" applyFont="1" applyFill="1" applyAlignment="1">
      <alignment horizontal="center"/>
    </xf>
    <xf numFmtId="0" fontId="25" fillId="17" borderId="20" xfId="0" applyFont="1" applyFill="1" applyBorder="1"/>
    <xf numFmtId="0" fontId="25" fillId="17" borderId="19" xfId="0" applyFont="1" applyFill="1" applyBorder="1"/>
    <xf numFmtId="0" fontId="25" fillId="17" borderId="0" xfId="0" applyFont="1" applyFill="1" applyAlignment="1">
      <alignment horizontal="center"/>
    </xf>
    <xf numFmtId="0" fontId="25" fillId="17" borderId="21" xfId="0" applyFont="1" applyFill="1" applyBorder="1"/>
    <xf numFmtId="0" fontId="25" fillId="17" borderId="22" xfId="0" applyFont="1" applyFill="1" applyBorder="1"/>
    <xf numFmtId="0" fontId="25" fillId="17" borderId="23" xfId="0" applyFont="1" applyFill="1" applyBorder="1"/>
    <xf numFmtId="0" fontId="8" fillId="16" borderId="0" xfId="0" applyFont="1" applyFill="1"/>
    <xf numFmtId="0" fontId="8" fillId="16" borderId="0" xfId="0" applyFont="1" applyFill="1" applyAlignment="1">
      <alignment horizontal="center"/>
    </xf>
    <xf numFmtId="0" fontId="14" fillId="16" borderId="0" xfId="0" applyFont="1" applyFill="1" applyAlignment="1">
      <alignment horizontal="center"/>
    </xf>
    <xf numFmtId="0" fontId="8" fillId="16" borderId="1" xfId="0" applyFont="1" applyFill="1" applyBorder="1" applyAlignment="1">
      <alignment horizontal="center"/>
    </xf>
    <xf numFmtId="0" fontId="8" fillId="0" borderId="1" xfId="0" applyFont="1" applyBorder="1" applyAlignment="1">
      <alignment horizontal="center" vertical="center"/>
    </xf>
    <xf numFmtId="0" fontId="22" fillId="0" borderId="1" xfId="0" applyFont="1" applyBorder="1" applyAlignment="1">
      <alignment horizontal="center" vertical="center" wrapText="1"/>
    </xf>
    <xf numFmtId="0" fontId="22" fillId="2" borderId="2" xfId="0" applyFont="1" applyFill="1" applyBorder="1" applyAlignment="1">
      <alignment horizontal="left" vertical="center"/>
    </xf>
    <xf numFmtId="0" fontId="22" fillId="2" borderId="5" xfId="0" applyFont="1" applyFill="1" applyBorder="1" applyAlignment="1">
      <alignment vertical="center" wrapText="1"/>
    </xf>
    <xf numFmtId="0" fontId="8" fillId="2" borderId="2" xfId="0" applyFont="1" applyFill="1" applyBorder="1"/>
    <xf numFmtId="0" fontId="8" fillId="2" borderId="15" xfId="0" applyFont="1" applyFill="1" applyBorder="1"/>
    <xf numFmtId="0" fontId="8" fillId="2" borderId="5" xfId="0" applyFont="1" applyFill="1" applyBorder="1"/>
    <xf numFmtId="0" fontId="14" fillId="2" borderId="0" xfId="0" applyFont="1" applyFill="1"/>
    <xf numFmtId="0" fontId="8" fillId="2" borderId="0" xfId="0" applyFont="1" applyFill="1"/>
    <xf numFmtId="0" fontId="0" fillId="2" borderId="1" xfId="0" applyFill="1" applyBorder="1"/>
    <xf numFmtId="0" fontId="13" fillId="2" borderId="1" xfId="0" applyFont="1" applyFill="1" applyBorder="1" applyAlignment="1">
      <alignment horizontal="center" vertical="center" wrapText="1"/>
    </xf>
    <xf numFmtId="0" fontId="13" fillId="2" borderId="0" xfId="0" applyFont="1" applyFill="1" applyAlignment="1">
      <alignment horizontal="center" vertical="center" wrapText="1"/>
    </xf>
    <xf numFmtId="0" fontId="0" fillId="2" borderId="9" xfId="0" applyFill="1" applyBorder="1"/>
    <xf numFmtId="0" fontId="13" fillId="2" borderId="9" xfId="0" applyFont="1" applyFill="1" applyBorder="1" applyAlignment="1">
      <alignment horizontal="center" vertical="center" wrapText="1"/>
    </xf>
    <xf numFmtId="0" fontId="8" fillId="2" borderId="3" xfId="0" applyFont="1" applyFill="1" applyBorder="1"/>
    <xf numFmtId="0" fontId="8" fillId="2" borderId="7" xfId="0" applyFont="1" applyFill="1" applyBorder="1"/>
    <xf numFmtId="0" fontId="8" fillId="2" borderId="12" xfId="0" applyFont="1" applyFill="1" applyBorder="1"/>
    <xf numFmtId="0" fontId="14" fillId="2" borderId="12" xfId="0" applyFont="1" applyFill="1" applyBorder="1"/>
    <xf numFmtId="0" fontId="0" fillId="2" borderId="11" xfId="0" applyFill="1" applyBorder="1"/>
    <xf numFmtId="0" fontId="8" fillId="2" borderId="13" xfId="0" applyFont="1" applyFill="1" applyBorder="1"/>
    <xf numFmtId="0" fontId="0" fillId="2" borderId="13" xfId="0" applyFill="1" applyBorder="1"/>
    <xf numFmtId="0" fontId="0" fillId="2" borderId="14" xfId="0" applyFill="1" applyBorder="1"/>
    <xf numFmtId="0" fontId="0" fillId="2" borderId="6" xfId="0" applyFill="1" applyBorder="1"/>
    <xf numFmtId="0" fontId="0" fillId="2" borderId="10" xfId="0" applyFill="1" applyBorder="1"/>
    <xf numFmtId="0" fontId="8" fillId="2" borderId="1" xfId="0" applyFont="1" applyFill="1" applyBorder="1" applyAlignment="1">
      <alignment wrapText="1"/>
    </xf>
    <xf numFmtId="0" fontId="15" fillId="2" borderId="1" xfId="0" applyFont="1" applyFill="1" applyBorder="1" applyAlignment="1">
      <alignment wrapText="1"/>
    </xf>
    <xf numFmtId="0" fontId="8" fillId="2" borderId="1" xfId="0" applyFont="1" applyFill="1" applyBorder="1"/>
    <xf numFmtId="0" fontId="14" fillId="2" borderId="1" xfId="0" applyFont="1" applyFill="1" applyBorder="1"/>
    <xf numFmtId="0" fontId="8" fillId="2" borderId="1" xfId="0" applyFont="1" applyFill="1" applyBorder="1" applyAlignment="1">
      <alignment horizontal="center"/>
    </xf>
    <xf numFmtId="0" fontId="8" fillId="2" borderId="1" xfId="0" applyFont="1" applyFill="1" applyBorder="1" applyAlignment="1">
      <alignment horizontal="center" vertical="center"/>
    </xf>
    <xf numFmtId="0" fontId="14" fillId="9" borderId="4" xfId="0" applyFont="1" applyFill="1" applyBorder="1"/>
    <xf numFmtId="0" fontId="8" fillId="2" borderId="0" xfId="0" applyFont="1" applyFill="1" applyAlignment="1">
      <alignment horizontal="center"/>
    </xf>
    <xf numFmtId="0" fontId="8" fillId="4" borderId="1" xfId="0" applyFont="1" applyFill="1" applyBorder="1" applyAlignment="1">
      <alignment horizontal="center"/>
    </xf>
    <xf numFmtId="0" fontId="23" fillId="2" borderId="1" xfId="0" applyFont="1" applyFill="1" applyBorder="1" applyAlignment="1">
      <alignment horizontal="center"/>
    </xf>
    <xf numFmtId="2" fontId="8" fillId="2" borderId="1" xfId="0" applyNumberFormat="1" applyFont="1" applyFill="1" applyBorder="1" applyAlignment="1">
      <alignment horizontal="center"/>
    </xf>
    <xf numFmtId="0" fontId="8" fillId="2" borderId="6" xfId="0" applyFont="1" applyFill="1" applyBorder="1"/>
    <xf numFmtId="0" fontId="8" fillId="2" borderId="2" xfId="0" applyFont="1" applyFill="1" applyBorder="1" applyAlignment="1">
      <alignment horizontal="center"/>
    </xf>
    <xf numFmtId="0" fontId="14" fillId="2" borderId="4" xfId="0" applyFont="1" applyFill="1" applyBorder="1"/>
    <xf numFmtId="0" fontId="22" fillId="2" borderId="15" xfId="0" applyFont="1" applyFill="1" applyBorder="1" applyAlignment="1">
      <alignment vertical="center" wrapText="1"/>
    </xf>
    <xf numFmtId="0" fontId="28" fillId="2" borderId="4" xfId="0" applyFont="1" applyFill="1" applyBorder="1" applyAlignment="1">
      <alignment vertical="center" wrapText="1"/>
    </xf>
    <xf numFmtId="0" fontId="13" fillId="2" borderId="8" xfId="0" applyFont="1" applyFill="1" applyBorder="1" applyAlignment="1">
      <alignment horizontal="center" vertical="center" wrapText="1"/>
    </xf>
    <xf numFmtId="0" fontId="3" fillId="2" borderId="9" xfId="0" applyFont="1" applyFill="1" applyBorder="1"/>
    <xf numFmtId="0" fontId="4" fillId="2" borderId="15" xfId="0" applyFont="1" applyFill="1" applyBorder="1"/>
    <xf numFmtId="0" fontId="16" fillId="2" borderId="1" xfId="0" applyFont="1" applyFill="1" applyBorder="1"/>
    <xf numFmtId="0" fontId="16" fillId="2" borderId="9" xfId="0" applyFont="1" applyFill="1" applyBorder="1"/>
    <xf numFmtId="0" fontId="22" fillId="2" borderId="1" xfId="0" applyFont="1" applyFill="1" applyBorder="1" applyAlignment="1">
      <alignment vertical="center" wrapText="1"/>
    </xf>
    <xf numFmtId="0" fontId="3" fillId="3" borderId="1" xfId="0" applyFont="1" applyFill="1" applyBorder="1"/>
    <xf numFmtId="0" fontId="14" fillId="9" borderId="1" xfId="0" applyFont="1" applyFill="1" applyBorder="1" applyAlignment="1">
      <alignment horizontal="center"/>
    </xf>
    <xf numFmtId="0" fontId="3" fillId="13" borderId="1" xfId="0" applyFont="1" applyFill="1" applyBorder="1" applyAlignment="1">
      <alignment horizontal="center"/>
    </xf>
    <xf numFmtId="0" fontId="22" fillId="2" borderId="2" xfId="0" applyFont="1" applyFill="1" applyBorder="1" applyAlignment="1">
      <alignment vertical="center" wrapText="1"/>
    </xf>
    <xf numFmtId="0" fontId="28" fillId="2" borderId="5" xfId="0" applyFont="1" applyFill="1" applyBorder="1" applyAlignment="1">
      <alignment vertical="center" wrapText="1"/>
    </xf>
    <xf numFmtId="0" fontId="0" fillId="0" borderId="1" xfId="0" applyBorder="1" applyAlignment="1">
      <alignment horizontal="center"/>
    </xf>
    <xf numFmtId="0" fontId="14" fillId="2" borderId="15" xfId="0" applyFont="1" applyFill="1" applyBorder="1"/>
    <xf numFmtId="0" fontId="6" fillId="13" borderId="1" xfId="0" applyFont="1" applyFill="1" applyBorder="1" applyAlignment="1">
      <alignment horizontal="center"/>
    </xf>
    <xf numFmtId="0" fontId="8" fillId="6" borderId="8" xfId="0" applyFont="1" applyFill="1" applyBorder="1"/>
    <xf numFmtId="0" fontId="8" fillId="2" borderId="14" xfId="0" applyFont="1" applyFill="1" applyBorder="1"/>
    <xf numFmtId="0" fontId="8" fillId="2" borderId="11" xfId="0" applyFont="1" applyFill="1" applyBorder="1"/>
    <xf numFmtId="0" fontId="16" fillId="2" borderId="0" xfId="0" applyFont="1" applyFill="1"/>
    <xf numFmtId="0" fontId="4" fillId="2" borderId="1" xfId="0" applyFont="1" applyFill="1" applyBorder="1"/>
    <xf numFmtId="0" fontId="28" fillId="6" borderId="4" xfId="0" applyFont="1" applyFill="1" applyBorder="1" applyAlignment="1">
      <alignment vertical="center" wrapText="1"/>
    </xf>
    <xf numFmtId="0" fontId="3" fillId="2" borderId="11" xfId="0" applyFont="1" applyFill="1" applyBorder="1"/>
    <xf numFmtId="164" fontId="0" fillId="0" borderId="0" xfId="1" applyNumberFormat="1" applyFont="1"/>
    <xf numFmtId="0" fontId="0" fillId="11" borderId="8" xfId="0" applyFill="1" applyBorder="1"/>
    <xf numFmtId="0" fontId="0" fillId="11" borderId="9" xfId="0" applyFill="1" applyBorder="1"/>
    <xf numFmtId="0" fontId="28" fillId="11" borderId="1" xfId="0" applyFont="1" applyFill="1" applyBorder="1" applyAlignment="1">
      <alignment vertical="center" wrapText="1"/>
    </xf>
    <xf numFmtId="0" fontId="2" fillId="11" borderId="8" xfId="0" applyFont="1" applyFill="1" applyBorder="1"/>
    <xf numFmtId="0" fontId="14" fillId="17" borderId="19" xfId="0" applyFont="1" applyFill="1" applyBorder="1"/>
    <xf numFmtId="0" fontId="8" fillId="17" borderId="0" xfId="0" applyFont="1" applyFill="1"/>
    <xf numFmtId="0" fontId="14" fillId="17" borderId="0" xfId="0" applyFont="1" applyFill="1"/>
    <xf numFmtId="0" fontId="8" fillId="17" borderId="19" xfId="0" applyFont="1" applyFill="1" applyBorder="1"/>
    <xf numFmtId="0" fontId="27" fillId="16" borderId="0" xfId="0" applyFont="1" applyFill="1"/>
    <xf numFmtId="0" fontId="28" fillId="0" borderId="1" xfId="0" applyFont="1" applyBorder="1" applyAlignment="1">
      <alignment horizontal="center" vertical="center" wrapText="1"/>
    </xf>
    <xf numFmtId="0" fontId="29" fillId="2" borderId="2" xfId="0" applyFont="1" applyFill="1" applyBorder="1" applyAlignment="1">
      <alignment vertical="center" wrapText="1"/>
    </xf>
    <xf numFmtId="10" fontId="0" fillId="2" borderId="13" xfId="1" applyNumberFormat="1" applyFont="1" applyFill="1" applyBorder="1" applyAlignment="1">
      <alignment horizontal="center"/>
    </xf>
    <xf numFmtId="166" fontId="8" fillId="16" borderId="30" xfId="0" applyNumberFormat="1" applyFont="1" applyFill="1" applyBorder="1" applyAlignment="1">
      <alignment horizontal="center"/>
    </xf>
    <xf numFmtId="166" fontId="8" fillId="16" borderId="29" xfId="0" applyNumberFormat="1" applyFont="1" applyFill="1" applyBorder="1" applyAlignment="1">
      <alignment horizontal="center"/>
    </xf>
    <xf numFmtId="166" fontId="8" fillId="16" borderId="31" xfId="0" applyNumberFormat="1" applyFont="1" applyFill="1" applyBorder="1" applyAlignment="1">
      <alignment horizontal="center"/>
    </xf>
    <xf numFmtId="166" fontId="8" fillId="16" borderId="32" xfId="0" applyNumberFormat="1" applyFont="1" applyFill="1" applyBorder="1" applyAlignment="1">
      <alignment horizontal="center"/>
    </xf>
    <xf numFmtId="0" fontId="10" fillId="2" borderId="0" xfId="0" applyFont="1" applyFill="1" applyAlignment="1">
      <alignment horizontal="left" vertical="center" indent="5"/>
    </xf>
    <xf numFmtId="166" fontId="14" fillId="11" borderId="27" xfId="0" applyNumberFormat="1" applyFont="1" applyFill="1" applyBorder="1" applyAlignment="1">
      <alignment horizontal="center"/>
    </xf>
    <xf numFmtId="166" fontId="14" fillId="11" borderId="28" xfId="0" applyNumberFormat="1" applyFont="1" applyFill="1" applyBorder="1" applyAlignment="1">
      <alignment horizontal="center"/>
    </xf>
    <xf numFmtId="166" fontId="14" fillId="11" borderId="30" xfId="0" applyNumberFormat="1" applyFont="1" applyFill="1" applyBorder="1" applyAlignment="1">
      <alignment horizontal="center"/>
    </xf>
    <xf numFmtId="0" fontId="32" fillId="17" borderId="16" xfId="0" applyFont="1" applyFill="1" applyBorder="1"/>
    <xf numFmtId="0" fontId="32" fillId="17" borderId="17" xfId="0" applyFont="1" applyFill="1" applyBorder="1"/>
    <xf numFmtId="0" fontId="33" fillId="17" borderId="17" xfId="0" applyFont="1" applyFill="1" applyBorder="1" applyAlignment="1">
      <alignment horizontal="center"/>
    </xf>
    <xf numFmtId="0" fontId="33" fillId="17" borderId="17" xfId="0" applyFont="1" applyFill="1" applyBorder="1"/>
    <xf numFmtId="0" fontId="34" fillId="17" borderId="19" xfId="0" applyFont="1" applyFill="1" applyBorder="1"/>
    <xf numFmtId="0" fontId="32" fillId="17" borderId="0" xfId="0" applyFont="1" applyFill="1"/>
    <xf numFmtId="0" fontId="33" fillId="17" borderId="0" xfId="0" applyFont="1" applyFill="1" applyAlignment="1">
      <alignment horizontal="center"/>
    </xf>
    <xf numFmtId="0" fontId="4" fillId="2" borderId="9" xfId="0" applyFont="1" applyFill="1" applyBorder="1"/>
    <xf numFmtId="0" fontId="24" fillId="16" borderId="16" xfId="0" applyFont="1" applyFill="1" applyBorder="1"/>
    <xf numFmtId="0" fontId="24" fillId="16" borderId="34" xfId="0" applyFont="1" applyFill="1" applyBorder="1" applyAlignment="1">
      <alignment horizontal="center"/>
    </xf>
    <xf numFmtId="0" fontId="37" fillId="16" borderId="34" xfId="0" applyFont="1" applyFill="1" applyBorder="1" applyAlignment="1">
      <alignment horizontal="center"/>
    </xf>
    <xf numFmtId="0" fontId="37" fillId="16" borderId="34" xfId="0" applyFont="1" applyFill="1" applyBorder="1"/>
    <xf numFmtId="0" fontId="37" fillId="16" borderId="35" xfId="0" applyFont="1" applyFill="1" applyBorder="1"/>
    <xf numFmtId="0" fontId="37" fillId="16" borderId="21" xfId="0" applyFont="1" applyFill="1" applyBorder="1"/>
    <xf numFmtId="0" fontId="37" fillId="16" borderId="37" xfId="0" applyFont="1" applyFill="1" applyBorder="1" applyAlignment="1">
      <alignment horizontal="center"/>
    </xf>
    <xf numFmtId="0" fontId="37" fillId="16" borderId="37" xfId="0" applyFont="1" applyFill="1" applyBorder="1"/>
    <xf numFmtId="0" fontId="37" fillId="16" borderId="38" xfId="0" applyFont="1" applyFill="1" applyBorder="1"/>
    <xf numFmtId="0" fontId="39" fillId="16" borderId="42" xfId="0" applyFont="1" applyFill="1" applyBorder="1" applyAlignment="1">
      <alignment horizontal="left" vertical="top" wrapText="1"/>
    </xf>
    <xf numFmtId="0" fontId="37" fillId="16" borderId="28" xfId="0" applyFont="1" applyFill="1" applyBorder="1" applyAlignment="1">
      <alignment horizontal="center"/>
    </xf>
    <xf numFmtId="0" fontId="37" fillId="2" borderId="13" xfId="0" applyFont="1" applyFill="1" applyBorder="1" applyAlignment="1">
      <alignment horizontal="center"/>
    </xf>
    <xf numFmtId="0" fontId="37" fillId="2" borderId="12" xfId="0" applyFont="1" applyFill="1" applyBorder="1" applyAlignment="1">
      <alignment horizontal="center"/>
    </xf>
    <xf numFmtId="1" fontId="37" fillId="2" borderId="45" xfId="0" applyNumberFormat="1" applyFont="1" applyFill="1" applyBorder="1" applyAlignment="1">
      <alignment horizontal="center"/>
    </xf>
    <xf numFmtId="1" fontId="37" fillId="16" borderId="35" xfId="0" applyNumberFormat="1" applyFont="1" applyFill="1" applyBorder="1" applyAlignment="1">
      <alignment horizontal="center"/>
    </xf>
    <xf numFmtId="0" fontId="39" fillId="16" borderId="39" xfId="0" applyFont="1" applyFill="1" applyBorder="1" applyAlignment="1">
      <alignment horizontal="left" vertical="top" wrapText="1"/>
    </xf>
    <xf numFmtId="0" fontId="37" fillId="16" borderId="31" xfId="0" applyFont="1" applyFill="1" applyBorder="1" applyAlignment="1">
      <alignment horizontal="center"/>
    </xf>
    <xf numFmtId="0" fontId="37" fillId="2" borderId="8" xfId="0" applyFont="1" applyFill="1" applyBorder="1" applyAlignment="1">
      <alignment horizontal="center"/>
    </xf>
    <xf numFmtId="0" fontId="37" fillId="2" borderId="4" xfId="0" applyFont="1" applyFill="1" applyBorder="1" applyAlignment="1">
      <alignment horizontal="center"/>
    </xf>
    <xf numFmtId="1" fontId="37" fillId="2" borderId="46" xfId="0" applyNumberFormat="1" applyFont="1" applyFill="1" applyBorder="1" applyAlignment="1">
      <alignment horizontal="center"/>
    </xf>
    <xf numFmtId="1" fontId="37" fillId="16" borderId="43" xfId="0" applyNumberFormat="1" applyFont="1" applyFill="1" applyBorder="1" applyAlignment="1">
      <alignment horizontal="center"/>
    </xf>
    <xf numFmtId="0" fontId="39" fillId="16" borderId="33" xfId="0" applyFont="1" applyFill="1" applyBorder="1" applyAlignment="1">
      <alignment horizontal="left" vertical="top" wrapText="1"/>
    </xf>
    <xf numFmtId="0" fontId="37" fillId="16" borderId="32" xfId="0" applyFont="1" applyFill="1" applyBorder="1" applyAlignment="1">
      <alignment horizontal="center"/>
    </xf>
    <xf numFmtId="0" fontId="37" fillId="2" borderId="41" xfId="0" applyFont="1" applyFill="1" applyBorder="1" applyAlignment="1">
      <alignment horizontal="center"/>
    </xf>
    <xf numFmtId="0" fontId="37" fillId="2" borderId="44" xfId="0" applyFont="1" applyFill="1" applyBorder="1" applyAlignment="1">
      <alignment horizontal="center"/>
    </xf>
    <xf numFmtId="1" fontId="37" fillId="2" borderId="47" xfId="0" applyNumberFormat="1" applyFont="1" applyFill="1" applyBorder="1" applyAlignment="1">
      <alignment horizontal="center"/>
    </xf>
    <xf numFmtId="1" fontId="37" fillId="16" borderId="48" xfId="0" applyNumberFormat="1" applyFont="1" applyFill="1" applyBorder="1" applyAlignment="1">
      <alignment horizontal="center"/>
    </xf>
    <xf numFmtId="0" fontId="8" fillId="16" borderId="34" xfId="0" applyFont="1" applyFill="1" applyBorder="1"/>
    <xf numFmtId="0" fontId="8" fillId="16" borderId="35" xfId="0" applyFont="1" applyFill="1" applyBorder="1"/>
    <xf numFmtId="0" fontId="8" fillId="16" borderId="38" xfId="0" applyFont="1" applyFill="1" applyBorder="1"/>
    <xf numFmtId="0" fontId="37" fillId="2" borderId="14" xfId="0" applyFont="1" applyFill="1" applyBorder="1" applyAlignment="1">
      <alignment horizontal="center"/>
    </xf>
    <xf numFmtId="0" fontId="37" fillId="16" borderId="5" xfId="0" applyFont="1" applyFill="1" applyBorder="1"/>
    <xf numFmtId="0" fontId="37" fillId="2" borderId="5" xfId="0" applyFont="1" applyFill="1" applyBorder="1"/>
    <xf numFmtId="0" fontId="37" fillId="2" borderId="9" xfId="0" applyFont="1" applyFill="1" applyBorder="1" applyAlignment="1">
      <alignment horizontal="center"/>
    </xf>
    <xf numFmtId="0" fontId="37" fillId="16" borderId="1" xfId="0" applyFont="1" applyFill="1" applyBorder="1"/>
    <xf numFmtId="0" fontId="37" fillId="2" borderId="1" xfId="0" applyFont="1" applyFill="1" applyBorder="1"/>
    <xf numFmtId="0" fontId="37" fillId="2" borderId="40" xfId="0" applyFont="1" applyFill="1" applyBorder="1" applyAlignment="1">
      <alignment horizontal="center"/>
    </xf>
    <xf numFmtId="0" fontId="37" fillId="2" borderId="37" xfId="0" applyFont="1" applyFill="1" applyBorder="1"/>
    <xf numFmtId="0" fontId="8" fillId="16" borderId="37" xfId="0" applyFont="1" applyFill="1" applyBorder="1" applyAlignment="1">
      <alignment horizontal="center"/>
    </xf>
    <xf numFmtId="0" fontId="15" fillId="2" borderId="0" xfId="0" applyFont="1" applyFill="1"/>
    <xf numFmtId="0" fontId="8" fillId="16" borderId="16" xfId="0" applyFont="1" applyFill="1" applyBorder="1"/>
    <xf numFmtId="0" fontId="8" fillId="16" borderId="17" xfId="0" applyFont="1" applyFill="1" applyBorder="1"/>
    <xf numFmtId="0" fontId="8" fillId="16" borderId="18" xfId="0" applyFont="1" applyFill="1" applyBorder="1"/>
    <xf numFmtId="0" fontId="8" fillId="16" borderId="19" xfId="0" applyFont="1" applyFill="1" applyBorder="1"/>
    <xf numFmtId="0" fontId="8" fillId="16" borderId="20" xfId="0" applyFont="1" applyFill="1" applyBorder="1"/>
    <xf numFmtId="0" fontId="8" fillId="19" borderId="1" xfId="0" applyFont="1" applyFill="1" applyBorder="1" applyAlignment="1">
      <alignment horizontal="center"/>
    </xf>
    <xf numFmtId="0" fontId="14" fillId="16" borderId="19" xfId="0" applyFont="1" applyFill="1" applyBorder="1" applyAlignment="1">
      <alignment horizontal="right"/>
    </xf>
    <xf numFmtId="0" fontId="14" fillId="16" borderId="0" xfId="0" applyFont="1" applyFill="1" applyAlignment="1">
      <alignment horizontal="left"/>
    </xf>
    <xf numFmtId="0" fontId="8" fillId="16" borderId="0" xfId="0" applyFont="1" applyFill="1" applyAlignment="1">
      <alignment horizontal="right"/>
    </xf>
    <xf numFmtId="0" fontId="14" fillId="16" borderId="0" xfId="0" applyFont="1" applyFill="1" applyAlignment="1">
      <alignment horizontal="right"/>
    </xf>
    <xf numFmtId="0" fontId="8" fillId="11" borderId="1" xfId="0" applyFont="1" applyFill="1" applyBorder="1" applyAlignment="1">
      <alignment horizontal="center"/>
    </xf>
    <xf numFmtId="0" fontId="14" fillId="16" borderId="0" xfId="0" applyFont="1" applyFill="1"/>
    <xf numFmtId="10" fontId="8" fillId="11" borderId="1" xfId="1" applyNumberFormat="1" applyFont="1" applyFill="1" applyBorder="1" applyAlignment="1">
      <alignment horizontal="center"/>
    </xf>
    <xf numFmtId="0" fontId="8" fillId="16" borderId="21" xfId="0" applyFont="1" applyFill="1" applyBorder="1"/>
    <xf numFmtId="0" fontId="8" fillId="16" borderId="22" xfId="0" applyFont="1" applyFill="1" applyBorder="1"/>
    <xf numFmtId="0" fontId="8" fillId="16" borderId="23" xfId="0" applyFont="1"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42" fillId="0" borderId="0" xfId="0" applyFont="1"/>
    <xf numFmtId="0" fontId="43" fillId="16" borderId="0" xfId="0" applyFont="1" applyFill="1"/>
    <xf numFmtId="0" fontId="44" fillId="2" borderId="0" xfId="0" applyFont="1" applyFill="1"/>
    <xf numFmtId="0" fontId="45" fillId="2" borderId="0" xfId="0" applyFont="1" applyFill="1"/>
    <xf numFmtId="0" fontId="31" fillId="2" borderId="0" xfId="2" applyFill="1"/>
    <xf numFmtId="0" fontId="3" fillId="2" borderId="1" xfId="0" applyFont="1" applyFill="1" applyBorder="1" applyAlignment="1">
      <alignment horizontal="center"/>
    </xf>
    <xf numFmtId="0" fontId="0" fillId="0" borderId="15" xfId="0" applyBorder="1"/>
    <xf numFmtId="2" fontId="0" fillId="0" borderId="0" xfId="0" applyNumberFormat="1"/>
    <xf numFmtId="0" fontId="3" fillId="0" borderId="0" xfId="0" applyFont="1" applyAlignment="1">
      <alignment horizontal="center" vertical="center" wrapText="1"/>
    </xf>
    <xf numFmtId="0" fontId="0" fillId="0" borderId="11" xfId="0" applyBorder="1"/>
    <xf numFmtId="0" fontId="5" fillId="0" borderId="0" xfId="0" applyFont="1"/>
    <xf numFmtId="0" fontId="25" fillId="0" borderId="0" xfId="0" applyFont="1"/>
    <xf numFmtId="0" fontId="25" fillId="0" borderId="0" xfId="0" applyFont="1" applyAlignment="1">
      <alignment horizontal="center"/>
    </xf>
    <xf numFmtId="0" fontId="25" fillId="20" borderId="0" xfId="0" applyFont="1" applyFill="1"/>
    <xf numFmtId="0" fontId="25" fillId="20" borderId="0" xfId="0" applyFont="1" applyFill="1" applyAlignment="1">
      <alignment horizontal="center"/>
    </xf>
    <xf numFmtId="0" fontId="14" fillId="20" borderId="0" xfId="0" applyFont="1" applyFill="1"/>
    <xf numFmtId="0" fontId="8" fillId="20" borderId="0" xfId="0" applyFont="1" applyFill="1"/>
    <xf numFmtId="0" fontId="8" fillId="20" borderId="0" xfId="0" applyFont="1" applyFill="1" applyAlignment="1">
      <alignment horizontal="center"/>
    </xf>
    <xf numFmtId="0" fontId="14" fillId="20" borderId="1" xfId="0" applyFont="1" applyFill="1" applyBorder="1"/>
    <xf numFmtId="0" fontId="14" fillId="20" borderId="1" xfId="0" applyFont="1" applyFill="1" applyBorder="1" applyAlignment="1">
      <alignment horizontal="center"/>
    </xf>
    <xf numFmtId="0" fontId="8" fillId="16" borderId="1" xfId="0" applyFont="1" applyFill="1" applyBorder="1" applyAlignment="1">
      <alignment horizontal="justify" vertical="center" wrapText="1"/>
    </xf>
    <xf numFmtId="0" fontId="14" fillId="0" borderId="1" xfId="0" applyFont="1" applyBorder="1" applyAlignment="1">
      <alignment horizontal="center"/>
    </xf>
    <xf numFmtId="0" fontId="24" fillId="4" borderId="31" xfId="0" applyFont="1" applyFill="1" applyBorder="1" applyAlignment="1">
      <alignment horizontal="center"/>
    </xf>
    <xf numFmtId="0" fontId="24" fillId="4" borderId="29" xfId="0" applyFont="1" applyFill="1" applyBorder="1" applyAlignment="1">
      <alignment horizontal="center"/>
    </xf>
    <xf numFmtId="0" fontId="24" fillId="4" borderId="30" xfId="0" applyFont="1" applyFill="1" applyBorder="1" applyAlignment="1">
      <alignment horizontal="center"/>
    </xf>
    <xf numFmtId="0" fontId="51" fillId="2" borderId="0" xfId="0" applyFont="1" applyFill="1" applyAlignment="1">
      <alignment horizontal="left" vertical="center"/>
    </xf>
    <xf numFmtId="0" fontId="14" fillId="2" borderId="0" xfId="0" applyFont="1" applyFill="1" applyAlignment="1">
      <alignment horizontal="center"/>
    </xf>
    <xf numFmtId="0" fontId="8" fillId="2" borderId="4" xfId="0" applyFont="1" applyFill="1" applyBorder="1"/>
    <xf numFmtId="0" fontId="8" fillId="2" borderId="5" xfId="0" applyFont="1" applyFill="1" applyBorder="1" applyAlignment="1">
      <alignment horizontal="center"/>
    </xf>
    <xf numFmtId="0" fontId="52" fillId="2" borderId="0" xfId="0" applyFont="1" applyFill="1"/>
    <xf numFmtId="0" fontId="14" fillId="3" borderId="2" xfId="0" applyFont="1" applyFill="1" applyBorder="1" applyAlignment="1">
      <alignment vertical="center" wrapText="1"/>
    </xf>
    <xf numFmtId="0" fontId="14" fillId="3" borderId="2" xfId="0" applyFont="1" applyFill="1" applyBorder="1" applyAlignment="1">
      <alignment horizontal="center" vertical="center" wrapText="1"/>
    </xf>
    <xf numFmtId="0" fontId="14" fillId="3" borderId="3"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15" fillId="2" borderId="0" xfId="0" applyFont="1" applyFill="1" applyAlignment="1">
      <alignment horizontal="center"/>
    </xf>
    <xf numFmtId="0" fontId="8" fillId="2" borderId="1" xfId="0" applyFont="1" applyFill="1" applyBorder="1" applyAlignment="1">
      <alignment vertical="center" wrapText="1"/>
    </xf>
    <xf numFmtId="164" fontId="14" fillId="2" borderId="4" xfId="1" applyNumberFormat="1" applyFont="1" applyFill="1" applyBorder="1" applyAlignment="1">
      <alignment horizontal="center" vertical="center" wrapText="1"/>
    </xf>
    <xf numFmtId="0" fontId="14" fillId="5" borderId="1" xfId="0" applyFont="1" applyFill="1" applyBorder="1" applyAlignment="1">
      <alignment horizontal="justify" vertical="center" wrapText="1"/>
    </xf>
    <xf numFmtId="0" fontId="14" fillId="5" borderId="1" xfId="0" applyFont="1" applyFill="1" applyBorder="1" applyAlignment="1">
      <alignment horizontal="center" vertical="center" wrapText="1"/>
    </xf>
    <xf numFmtId="0" fontId="14" fillId="5" borderId="4" xfId="0" applyFont="1" applyFill="1" applyBorder="1" applyAlignment="1">
      <alignment horizontal="center" vertical="center" wrapText="1"/>
    </xf>
    <xf numFmtId="0" fontId="9" fillId="5" borderId="1" xfId="0" applyFont="1" applyFill="1" applyBorder="1" applyAlignment="1">
      <alignment vertical="center" wrapText="1"/>
    </xf>
    <xf numFmtId="0" fontId="8" fillId="2" borderId="1" xfId="0" applyFont="1" applyFill="1" applyBorder="1" applyAlignment="1">
      <alignment horizontal="justify" vertical="center" wrapText="1"/>
    </xf>
    <xf numFmtId="0" fontId="8" fillId="0" borderId="1" xfId="0" applyFont="1" applyBorder="1" applyAlignment="1">
      <alignment horizontal="center" vertical="center" wrapText="1"/>
    </xf>
    <xf numFmtId="0" fontId="14" fillId="0" borderId="4" xfId="0" applyFont="1" applyBorder="1" applyAlignment="1">
      <alignment horizontal="center" vertical="center" wrapText="1"/>
    </xf>
    <xf numFmtId="164" fontId="8" fillId="2" borderId="4" xfId="1" applyNumberFormat="1" applyFont="1" applyFill="1" applyBorder="1" applyAlignment="1">
      <alignment horizontal="center" vertical="center" wrapText="1"/>
    </xf>
    <xf numFmtId="165" fontId="53" fillId="2" borderId="0" xfId="0" applyNumberFormat="1" applyFont="1" applyFill="1" applyAlignment="1">
      <alignment horizontal="center"/>
    </xf>
    <xf numFmtId="0" fontId="14" fillId="2" borderId="4" xfId="0" applyFont="1" applyFill="1" applyBorder="1" applyAlignment="1">
      <alignment horizontal="center" vertical="center" wrapText="1"/>
    </xf>
    <xf numFmtId="0" fontId="15" fillId="2" borderId="1" xfId="0" applyFont="1" applyFill="1" applyBorder="1" applyAlignment="1">
      <alignment horizontal="center"/>
    </xf>
    <xf numFmtId="0" fontId="8" fillId="4" borderId="1" xfId="0" applyFont="1" applyFill="1" applyBorder="1" applyAlignment="1">
      <alignment horizontal="center" vertical="center" wrapText="1"/>
    </xf>
    <xf numFmtId="0" fontId="54" fillId="2" borderId="1" xfId="0" applyFont="1" applyFill="1" applyBorder="1" applyAlignment="1">
      <alignment horizontal="center"/>
    </xf>
    <xf numFmtId="0" fontId="14" fillId="2" borderId="1" xfId="0" applyFont="1" applyFill="1" applyBorder="1" applyAlignment="1">
      <alignment horizontal="justify" vertical="center" wrapText="1"/>
    </xf>
    <xf numFmtId="0" fontId="14" fillId="0" borderId="1" xfId="0" applyFont="1" applyBorder="1" applyAlignment="1">
      <alignment horizontal="center" vertical="center" wrapText="1"/>
    </xf>
    <xf numFmtId="0" fontId="37" fillId="2" borderId="1" xfId="0" applyFont="1" applyFill="1" applyBorder="1" applyAlignment="1">
      <alignment horizontal="center"/>
    </xf>
    <xf numFmtId="164" fontId="14" fillId="2" borderId="1" xfId="1" applyNumberFormat="1" applyFont="1" applyFill="1" applyBorder="1" applyAlignment="1">
      <alignment horizontal="center" vertical="center" wrapText="1"/>
    </xf>
    <xf numFmtId="0" fontId="14" fillId="6" borderId="1" xfId="0" applyFont="1" applyFill="1" applyBorder="1" applyAlignment="1">
      <alignment vertical="center" wrapText="1"/>
    </xf>
    <xf numFmtId="0" fontId="14" fillId="6" borderId="1" xfId="0" applyFont="1" applyFill="1" applyBorder="1" applyAlignment="1">
      <alignment horizontal="center" vertical="center" wrapText="1"/>
    </xf>
    <xf numFmtId="0" fontId="14" fillId="6" borderId="4"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14" fillId="6" borderId="1" xfId="0" applyFont="1" applyFill="1" applyBorder="1" applyAlignment="1">
      <alignment horizontal="justify" vertical="center" wrapText="1"/>
    </xf>
    <xf numFmtId="0" fontId="15" fillId="2" borderId="0" xfId="0" applyFont="1" applyFill="1" applyAlignment="1">
      <alignment horizontal="left"/>
    </xf>
    <xf numFmtId="0" fontId="14" fillId="7" borderId="5" xfId="0" applyFont="1" applyFill="1" applyBorder="1" applyAlignment="1">
      <alignment vertical="center" wrapText="1"/>
    </xf>
    <xf numFmtId="0" fontId="14" fillId="7" borderId="1" xfId="0" applyFont="1" applyFill="1" applyBorder="1" applyAlignment="1">
      <alignment horizontal="center" vertical="center" wrapText="1"/>
    </xf>
    <xf numFmtId="0" fontId="8" fillId="7" borderId="4" xfId="0" applyFont="1" applyFill="1" applyBorder="1" applyAlignment="1">
      <alignment horizontal="center" vertical="center" wrapText="1"/>
    </xf>
    <xf numFmtId="0" fontId="14" fillId="7" borderId="4" xfId="0" applyFont="1" applyFill="1" applyBorder="1" applyAlignment="1">
      <alignment horizontal="center" vertical="center" wrapText="1"/>
    </xf>
    <xf numFmtId="1" fontId="14" fillId="2" borderId="1" xfId="0" applyNumberFormat="1" applyFont="1" applyFill="1" applyBorder="1" applyAlignment="1">
      <alignment horizontal="center"/>
    </xf>
    <xf numFmtId="1" fontId="9" fillId="2" borderId="1" xfId="0" applyNumberFormat="1" applyFont="1" applyFill="1" applyBorder="1" applyAlignment="1">
      <alignment horizontal="center"/>
    </xf>
    <xf numFmtId="0" fontId="8" fillId="2" borderId="1"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54" fillId="2" borderId="4" xfId="0" applyFont="1" applyFill="1" applyBorder="1" applyAlignment="1">
      <alignment horizontal="center"/>
    </xf>
    <xf numFmtId="0" fontId="14" fillId="2" borderId="1" xfId="0" applyFont="1" applyFill="1" applyBorder="1" applyAlignment="1">
      <alignment vertical="center" wrapText="1"/>
    </xf>
    <xf numFmtId="1" fontId="14" fillId="2" borderId="1" xfId="0" applyNumberFormat="1" applyFont="1" applyFill="1" applyBorder="1" applyAlignment="1">
      <alignment horizontal="center" vertical="center"/>
    </xf>
    <xf numFmtId="1" fontId="9" fillId="2" borderId="1" xfId="0" applyNumberFormat="1" applyFont="1" applyFill="1" applyBorder="1" applyAlignment="1">
      <alignment horizontal="center" vertical="center"/>
    </xf>
    <xf numFmtId="0" fontId="8" fillId="0" borderId="0" xfId="0" applyFont="1" applyAlignment="1">
      <alignment horizontal="center"/>
    </xf>
    <xf numFmtId="0" fontId="14" fillId="7" borderId="1" xfId="0" applyFont="1" applyFill="1" applyBorder="1" applyAlignment="1">
      <alignment horizontal="center" vertical="center"/>
    </xf>
    <xf numFmtId="0" fontId="9" fillId="7" borderId="1" xfId="0" applyFont="1" applyFill="1" applyBorder="1" applyAlignment="1">
      <alignment horizontal="center" vertical="center"/>
    </xf>
    <xf numFmtId="0" fontId="15" fillId="2" borderId="2" xfId="0" applyFont="1" applyFill="1" applyBorder="1" applyAlignment="1">
      <alignment horizontal="center"/>
    </xf>
    <xf numFmtId="0" fontId="54" fillId="2" borderId="4" xfId="0" applyFont="1" applyFill="1" applyBorder="1" applyAlignment="1">
      <alignment horizontal="center" vertical="center"/>
    </xf>
    <xf numFmtId="0" fontId="16" fillId="2" borderId="4" xfId="0" applyFont="1" applyFill="1" applyBorder="1" applyAlignment="1">
      <alignment horizontal="center"/>
    </xf>
    <xf numFmtId="2" fontId="9" fillId="2" borderId="0" xfId="0" applyNumberFormat="1" applyFont="1" applyFill="1" applyAlignment="1">
      <alignment horizontal="center"/>
    </xf>
    <xf numFmtId="0" fontId="14" fillId="15" borderId="2" xfId="0" applyFont="1" applyFill="1" applyBorder="1" applyAlignment="1">
      <alignment vertical="center" wrapText="1"/>
    </xf>
    <xf numFmtId="0" fontId="8" fillId="15" borderId="1" xfId="0" applyFont="1" applyFill="1" applyBorder="1" applyAlignment="1">
      <alignment horizontal="center" vertical="center" wrapText="1"/>
    </xf>
    <xf numFmtId="0" fontId="14" fillId="15" borderId="4" xfId="0" applyFont="1" applyFill="1" applyBorder="1" applyAlignment="1">
      <alignment horizontal="center" vertical="center" wrapText="1"/>
    </xf>
    <xf numFmtId="0" fontId="0" fillId="15" borderId="4" xfId="0" applyFill="1" applyBorder="1" applyAlignment="1">
      <alignment horizontal="center"/>
    </xf>
    <xf numFmtId="0" fontId="8" fillId="2" borderId="2" xfId="0" applyFont="1" applyFill="1" applyBorder="1" applyAlignment="1">
      <alignment vertical="center" wrapText="1"/>
    </xf>
    <xf numFmtId="0" fontId="9" fillId="6" borderId="4" xfId="0" applyFont="1" applyFill="1" applyBorder="1" applyAlignment="1">
      <alignment horizontal="center" vertical="center" wrapText="1"/>
    </xf>
    <xf numFmtId="0" fontId="14" fillId="8" borderId="5" xfId="0" applyFont="1" applyFill="1" applyBorder="1" applyAlignment="1">
      <alignment vertical="center" wrapText="1"/>
    </xf>
    <xf numFmtId="0" fontId="8" fillId="8" borderId="1" xfId="0" applyFont="1" applyFill="1" applyBorder="1" applyAlignment="1">
      <alignment horizontal="center" vertical="center" wrapText="1"/>
    </xf>
    <xf numFmtId="0" fontId="14" fillId="8" borderId="4" xfId="0" applyFont="1" applyFill="1" applyBorder="1" applyAlignment="1">
      <alignment horizontal="center" vertical="center" wrapText="1"/>
    </xf>
    <xf numFmtId="0" fontId="8" fillId="2" borderId="5" xfId="0" applyFont="1" applyFill="1" applyBorder="1" applyAlignment="1">
      <alignment vertical="center" wrapText="1"/>
    </xf>
    <xf numFmtId="0" fontId="28" fillId="9" borderId="1" xfId="0" applyFont="1" applyFill="1" applyBorder="1" applyAlignment="1">
      <alignment vertical="center" wrapText="1"/>
    </xf>
    <xf numFmtId="0" fontId="28" fillId="9" borderId="1" xfId="0" applyFont="1" applyFill="1" applyBorder="1" applyAlignment="1">
      <alignment horizontal="center" vertical="center" wrapText="1"/>
    </xf>
    <xf numFmtId="0" fontId="22" fillId="16" borderId="1" xfId="0" applyFont="1" applyFill="1" applyBorder="1" applyAlignment="1">
      <alignment horizontal="left" vertical="top" wrapText="1"/>
    </xf>
    <xf numFmtId="0" fontId="28" fillId="4" borderId="1" xfId="0" applyFont="1" applyFill="1" applyBorder="1" applyAlignment="1">
      <alignment horizontal="center" vertical="center" wrapText="1"/>
    </xf>
    <xf numFmtId="0" fontId="22" fillId="16" borderId="1" xfId="0" applyFont="1" applyFill="1" applyBorder="1" applyAlignment="1">
      <alignment horizontal="center" vertical="center" wrapText="1"/>
    </xf>
    <xf numFmtId="0" fontId="8" fillId="16" borderId="1" xfId="0" applyFont="1" applyFill="1" applyBorder="1" applyAlignment="1">
      <alignment horizontal="left" vertical="top"/>
    </xf>
    <xf numFmtId="0" fontId="22" fillId="16" borderId="1" xfId="0" applyFont="1" applyFill="1" applyBorder="1" applyAlignment="1">
      <alignment horizontal="left" vertical="top"/>
    </xf>
    <xf numFmtId="0" fontId="14" fillId="0" borderId="1" xfId="0" applyFont="1" applyBorder="1"/>
    <xf numFmtId="0" fontId="28" fillId="0" borderId="1" xfId="0" applyFont="1" applyBorder="1" applyAlignment="1">
      <alignment horizontal="left" vertical="center" wrapText="1"/>
    </xf>
    <xf numFmtId="0" fontId="22" fillId="16" borderId="1" xfId="0" applyFont="1" applyFill="1" applyBorder="1" applyAlignment="1">
      <alignment vertical="center" wrapText="1"/>
    </xf>
    <xf numFmtId="0" fontId="22" fillId="16" borderId="1" xfId="0" applyFont="1" applyFill="1" applyBorder="1" applyAlignment="1">
      <alignment horizontal="left" vertical="center" wrapText="1"/>
    </xf>
    <xf numFmtId="0" fontId="28" fillId="16" borderId="1" xfId="0" applyFont="1" applyFill="1" applyBorder="1" applyAlignment="1">
      <alignment horizontal="center" vertical="center" wrapText="1"/>
    </xf>
    <xf numFmtId="0" fontId="14" fillId="16" borderId="1" xfId="0" applyFont="1" applyFill="1" applyBorder="1"/>
    <xf numFmtId="0" fontId="14" fillId="10" borderId="1" xfId="0" applyFont="1" applyFill="1" applyBorder="1"/>
    <xf numFmtId="0" fontId="14" fillId="10" borderId="1" xfId="0" applyFont="1" applyFill="1" applyBorder="1" applyAlignment="1">
      <alignment horizontal="center"/>
    </xf>
    <xf numFmtId="0" fontId="8" fillId="10" borderId="1" xfId="0" applyFont="1" applyFill="1" applyBorder="1" applyAlignment="1">
      <alignment horizontal="center"/>
    </xf>
    <xf numFmtId="0" fontId="8" fillId="16" borderId="1" xfId="0" applyFont="1" applyFill="1" applyBorder="1"/>
    <xf numFmtId="0" fontId="8" fillId="16" borderId="1" xfId="1" applyNumberFormat="1" applyFont="1" applyFill="1" applyBorder="1" applyAlignment="1">
      <alignment horizontal="center"/>
    </xf>
    <xf numFmtId="9" fontId="8" fillId="16" borderId="1" xfId="1" applyFont="1" applyFill="1" applyBorder="1" applyAlignment="1">
      <alignment horizontal="center"/>
    </xf>
    <xf numFmtId="0" fontId="14" fillId="16" borderId="1" xfId="0" applyFont="1" applyFill="1" applyBorder="1" applyAlignment="1">
      <alignment horizontal="center"/>
    </xf>
    <xf numFmtId="0" fontId="22" fillId="9" borderId="1" xfId="0" applyFont="1" applyFill="1" applyBorder="1" applyAlignment="1">
      <alignment horizontal="center" vertical="center" wrapText="1"/>
    </xf>
    <xf numFmtId="0" fontId="22" fillId="2" borderId="1" xfId="0" applyFont="1" applyFill="1" applyBorder="1" applyAlignment="1">
      <alignment horizontal="left" vertical="top" wrapText="1"/>
    </xf>
    <xf numFmtId="0" fontId="8" fillId="2" borderId="1" xfId="0" applyFont="1" applyFill="1" applyBorder="1" applyAlignment="1">
      <alignment horizontal="left" vertical="top"/>
    </xf>
    <xf numFmtId="0" fontId="22" fillId="2" borderId="1" xfId="0" applyFont="1" applyFill="1" applyBorder="1" applyAlignment="1">
      <alignment horizontal="left" vertical="top"/>
    </xf>
    <xf numFmtId="0" fontId="28" fillId="0" borderId="4" xfId="0" applyFont="1" applyBorder="1" applyAlignment="1">
      <alignment horizontal="center" vertical="center" wrapText="1"/>
    </xf>
    <xf numFmtId="0" fontId="22" fillId="2" borderId="1" xfId="0" applyFont="1" applyFill="1" applyBorder="1" applyAlignment="1">
      <alignment horizontal="center" vertical="center" wrapText="1"/>
    </xf>
    <xf numFmtId="0" fontId="22" fillId="2" borderId="4" xfId="0" applyFont="1" applyFill="1" applyBorder="1" applyAlignment="1">
      <alignment horizontal="center" vertical="center" wrapText="1"/>
    </xf>
    <xf numFmtId="0" fontId="14" fillId="16" borderId="1" xfId="0" applyFont="1" applyFill="1" applyBorder="1" applyAlignment="1">
      <alignment horizontal="left" vertical="center"/>
    </xf>
    <xf numFmtId="0" fontId="28" fillId="16" borderId="1" xfId="0" applyFont="1" applyFill="1" applyBorder="1" applyAlignment="1">
      <alignment horizontal="left" vertical="center"/>
    </xf>
    <xf numFmtId="0" fontId="28" fillId="2" borderId="1" xfId="0" applyFont="1" applyFill="1" applyBorder="1" applyAlignment="1">
      <alignment vertical="center" wrapText="1"/>
    </xf>
    <xf numFmtId="0" fontId="14" fillId="2" borderId="1" xfId="0" applyFont="1" applyFill="1" applyBorder="1" applyAlignment="1">
      <alignment horizontal="left" vertical="center"/>
    </xf>
    <xf numFmtId="0" fontId="28" fillId="2" borderId="1" xfId="0" applyFont="1" applyFill="1" applyBorder="1" applyAlignment="1">
      <alignment horizontal="left" vertical="center"/>
    </xf>
    <xf numFmtId="0" fontId="55" fillId="16" borderId="0" xfId="0" applyFont="1" applyFill="1"/>
    <xf numFmtId="1" fontId="0" fillId="0" borderId="0" xfId="0" applyNumberFormat="1"/>
    <xf numFmtId="0" fontId="50" fillId="0" borderId="0" xfId="0" applyFont="1"/>
    <xf numFmtId="0" fontId="8" fillId="2" borderId="4" xfId="0" applyFont="1" applyFill="1" applyBorder="1" applyAlignment="1">
      <alignment horizontal="center" vertical="center" wrapText="1"/>
    </xf>
    <xf numFmtId="0" fontId="14" fillId="21" borderId="1" xfId="0" applyFont="1" applyFill="1" applyBorder="1" applyAlignment="1">
      <alignment horizontal="center"/>
    </xf>
    <xf numFmtId="0" fontId="0" fillId="23" borderId="0" xfId="0" applyFill="1"/>
    <xf numFmtId="0" fontId="14" fillId="14" borderId="4" xfId="0" applyFont="1" applyFill="1" applyBorder="1" applyAlignment="1">
      <alignment horizontal="center"/>
    </xf>
    <xf numFmtId="0" fontId="8" fillId="14" borderId="4" xfId="0" applyFont="1" applyFill="1" applyBorder="1"/>
    <xf numFmtId="0" fontId="0" fillId="14" borderId="8" xfId="0" applyFill="1" applyBorder="1"/>
    <xf numFmtId="0" fontId="0" fillId="14" borderId="9" xfId="0" applyFill="1" applyBorder="1"/>
    <xf numFmtId="0" fontId="2" fillId="11" borderId="0" xfId="0" applyFont="1" applyFill="1" applyAlignment="1">
      <alignment horizontal="center"/>
    </xf>
    <xf numFmtId="0" fontId="0" fillId="11" borderId="0" xfId="0" applyFill="1" applyAlignment="1">
      <alignment horizontal="center"/>
    </xf>
    <xf numFmtId="0" fontId="2" fillId="9" borderId="0" xfId="0" applyFont="1" applyFill="1" applyAlignment="1">
      <alignment horizontal="center"/>
    </xf>
    <xf numFmtId="0" fontId="0" fillId="9" borderId="0" xfId="0" applyFill="1" applyAlignment="1">
      <alignment horizontal="center"/>
    </xf>
    <xf numFmtId="0" fontId="2" fillId="19" borderId="0" xfId="0" applyFont="1" applyFill="1" applyAlignment="1">
      <alignment horizontal="center"/>
    </xf>
    <xf numFmtId="0" fontId="0" fillId="19" borderId="0" xfId="0" applyFill="1" applyAlignment="1">
      <alignment horizontal="center"/>
    </xf>
    <xf numFmtId="0" fontId="2" fillId="22" borderId="16" xfId="0" applyFont="1" applyFill="1" applyBorder="1"/>
    <xf numFmtId="0" fontId="2" fillId="22" borderId="17" xfId="0" applyFont="1" applyFill="1" applyBorder="1"/>
    <xf numFmtId="0" fontId="0" fillId="22" borderId="17" xfId="0" applyFill="1" applyBorder="1"/>
    <xf numFmtId="0" fontId="0" fillId="22" borderId="18" xfId="0" applyFill="1" applyBorder="1"/>
    <xf numFmtId="0" fontId="0" fillId="22" borderId="49" xfId="0" applyFill="1" applyBorder="1"/>
    <xf numFmtId="0" fontId="0" fillId="22" borderId="1" xfId="0" applyFill="1" applyBorder="1"/>
    <xf numFmtId="0" fontId="0" fillId="22" borderId="36" xfId="0" applyFill="1" applyBorder="1"/>
    <xf numFmtId="0" fontId="0" fillId="22" borderId="50" xfId="0" applyFill="1" applyBorder="1"/>
    <xf numFmtId="0" fontId="0" fillId="22" borderId="37" xfId="0" applyFill="1" applyBorder="1"/>
    <xf numFmtId="0" fontId="0" fillId="22" borderId="38" xfId="0" applyFill="1" applyBorder="1"/>
    <xf numFmtId="164" fontId="0" fillId="22" borderId="1" xfId="0" applyNumberFormat="1" applyFill="1" applyBorder="1"/>
    <xf numFmtId="164" fontId="0" fillId="22" borderId="37" xfId="0" applyNumberFormat="1" applyFill="1" applyBorder="1"/>
    <xf numFmtId="0" fontId="0" fillId="22" borderId="51" xfId="0" applyFill="1" applyBorder="1"/>
    <xf numFmtId="164" fontId="0" fillId="0" borderId="0" xfId="0" applyNumberFormat="1"/>
    <xf numFmtId="0" fontId="0" fillId="0" borderId="0" xfId="0" applyAlignment="1">
      <alignment horizontal="left"/>
    </xf>
    <xf numFmtId="9" fontId="0" fillId="0" borderId="0" xfId="1" applyFont="1" applyAlignment="1">
      <alignment horizontal="left"/>
    </xf>
    <xf numFmtId="0" fontId="58" fillId="0" borderId="0" xfId="0" applyFont="1"/>
    <xf numFmtId="0" fontId="59" fillId="0" borderId="0" xfId="0" applyFont="1"/>
    <xf numFmtId="0" fontId="58" fillId="0" borderId="1" xfId="0" applyFont="1" applyBorder="1" applyAlignment="1">
      <alignment horizontal="center" vertical="center" wrapText="1"/>
    </xf>
    <xf numFmtId="1" fontId="58" fillId="0" borderId="9" xfId="0" applyNumberFormat="1" applyFont="1" applyBorder="1" applyAlignment="1">
      <alignment horizontal="center" vertical="center"/>
    </xf>
    <xf numFmtId="1" fontId="58" fillId="0" borderId="1" xfId="0" applyNumberFormat="1" applyFont="1" applyBorder="1" applyAlignment="1">
      <alignment horizontal="center" vertical="center"/>
    </xf>
    <xf numFmtId="0" fontId="58" fillId="0" borderId="1" xfId="0" applyFont="1" applyBorder="1" applyAlignment="1">
      <alignment horizontal="center" vertical="center"/>
    </xf>
    <xf numFmtId="1" fontId="59" fillId="0" borderId="14" xfId="0" applyNumberFormat="1" applyFont="1" applyBorder="1" applyAlignment="1">
      <alignment horizontal="center" vertical="center"/>
    </xf>
    <xf numFmtId="1" fontId="59" fillId="0" borderId="5" xfId="0" applyNumberFormat="1" applyFont="1" applyBorder="1" applyAlignment="1">
      <alignment horizontal="center" vertical="center"/>
    </xf>
    <xf numFmtId="1" fontId="59" fillId="0" borderId="1" xfId="0" applyNumberFormat="1" applyFont="1" applyBorder="1" applyAlignment="1">
      <alignment horizontal="center" vertical="center"/>
    </xf>
    <xf numFmtId="1" fontId="59" fillId="0" borderId="9" xfId="0" applyNumberFormat="1" applyFont="1" applyBorder="1" applyAlignment="1">
      <alignment horizontal="center" vertical="center"/>
    </xf>
    <xf numFmtId="0" fontId="59" fillId="0" borderId="0" xfId="0" applyFont="1" applyAlignment="1">
      <alignment horizontal="center" vertical="center"/>
    </xf>
    <xf numFmtId="0" fontId="58" fillId="0" borderId="0" xfId="0" applyFont="1" applyAlignment="1">
      <alignment horizontal="center" vertical="center"/>
    </xf>
    <xf numFmtId="0" fontId="58" fillId="0" borderId="1" xfId="0" applyFont="1" applyBorder="1" applyAlignment="1">
      <alignment horizontal="center" vertical="top"/>
    </xf>
    <xf numFmtId="1" fontId="58" fillId="0" borderId="1" xfId="0" applyNumberFormat="1" applyFont="1" applyBorder="1" applyAlignment="1">
      <alignment horizontal="center" vertical="top"/>
    </xf>
    <xf numFmtId="1" fontId="58" fillId="0" borderId="1" xfId="0" applyNumberFormat="1" applyFont="1" applyBorder="1" applyAlignment="1">
      <alignment horizontal="center"/>
    </xf>
    <xf numFmtId="1" fontId="59" fillId="0" borderId="1" xfId="0" applyNumberFormat="1" applyFont="1" applyBorder="1" applyAlignment="1">
      <alignment horizontal="center"/>
    </xf>
    <xf numFmtId="1" fontId="59" fillId="0" borderId="1" xfId="0" applyNumberFormat="1" applyFont="1" applyBorder="1" applyAlignment="1">
      <alignment horizontal="center" vertical="top"/>
    </xf>
    <xf numFmtId="0" fontId="58" fillId="0" borderId="1" xfId="0" applyFont="1" applyBorder="1" applyAlignment="1">
      <alignment horizontal="center"/>
    </xf>
    <xf numFmtId="0" fontId="59" fillId="0" borderId="1" xfId="0" applyFont="1" applyBorder="1" applyAlignment="1">
      <alignment horizontal="center" vertical="top"/>
    </xf>
    <xf numFmtId="0" fontId="59" fillId="0" borderId="1" xfId="0" applyFont="1" applyBorder="1" applyAlignment="1">
      <alignment horizontal="center" vertical="center"/>
    </xf>
    <xf numFmtId="0" fontId="59" fillId="0" borderId="1" xfId="0" applyFont="1" applyBorder="1" applyAlignment="1">
      <alignment horizontal="center"/>
    </xf>
    <xf numFmtId="2" fontId="59" fillId="0" borderId="0" xfId="0" applyNumberFormat="1" applyFont="1"/>
    <xf numFmtId="1" fontId="58" fillId="0" borderId="1" xfId="0" applyNumberFormat="1" applyFont="1" applyBorder="1" applyAlignment="1">
      <alignment horizontal="center" vertical="center" wrapText="1"/>
    </xf>
    <xf numFmtId="0" fontId="61" fillId="0" borderId="0" xfId="0" applyFont="1"/>
    <xf numFmtId="1" fontId="60" fillId="0" borderId="19" xfId="0" applyNumberFormat="1" applyFont="1" applyBorder="1" applyAlignment="1">
      <alignment horizontal="left" vertical="top"/>
    </xf>
    <xf numFmtId="1" fontId="60" fillId="0" borderId="0" xfId="0" applyNumberFormat="1" applyFont="1" applyAlignment="1">
      <alignment horizontal="left" vertical="top"/>
    </xf>
    <xf numFmtId="1" fontId="60" fillId="0" borderId="0" xfId="0" applyNumberFormat="1" applyFont="1" applyAlignment="1">
      <alignment horizontal="left"/>
    </xf>
    <xf numFmtId="1" fontId="60" fillId="0" borderId="0" xfId="0" applyNumberFormat="1" applyFont="1" applyAlignment="1">
      <alignment horizontal="left" vertical="center"/>
    </xf>
    <xf numFmtId="1" fontId="60" fillId="0" borderId="19" xfId="0" applyNumberFormat="1" applyFont="1" applyBorder="1" applyAlignment="1">
      <alignment horizontal="left" vertical="center"/>
    </xf>
    <xf numFmtId="0" fontId="62" fillId="0" borderId="1" xfId="0" applyFont="1" applyBorder="1" applyAlignment="1">
      <alignment horizontal="center" vertical="center"/>
    </xf>
    <xf numFmtId="1" fontId="62" fillId="0" borderId="1" xfId="0" applyNumberFormat="1" applyFont="1" applyBorder="1" applyAlignment="1">
      <alignment horizontal="center" vertical="center"/>
    </xf>
    <xf numFmtId="166" fontId="62" fillId="0" borderId="1" xfId="0" applyNumberFormat="1" applyFont="1" applyBorder="1" applyAlignment="1">
      <alignment horizontal="center" vertical="center"/>
    </xf>
    <xf numFmtId="0" fontId="0" fillId="0" borderId="1" xfId="0" applyBorder="1" applyAlignment="1">
      <alignment horizontal="center" vertical="center"/>
    </xf>
    <xf numFmtId="0" fontId="14" fillId="2" borderId="1" xfId="0" applyFont="1" applyFill="1" applyBorder="1" applyAlignment="1">
      <alignment horizontal="center" vertical="center" wrapText="1"/>
    </xf>
    <xf numFmtId="0" fontId="14" fillId="13" borderId="1" xfId="0" applyFont="1" applyFill="1" applyBorder="1"/>
    <xf numFmtId="0" fontId="14" fillId="3" borderId="1" xfId="0" applyFont="1" applyFill="1" applyBorder="1"/>
    <xf numFmtId="0" fontId="0" fillId="2" borderId="0" xfId="0" applyFill="1" applyAlignment="1">
      <alignment horizontal="center"/>
    </xf>
    <xf numFmtId="0" fontId="0" fillId="2" borderId="0" xfId="0" applyFill="1" applyAlignment="1">
      <alignment horizontal="left"/>
    </xf>
    <xf numFmtId="9" fontId="0" fillId="2" borderId="13" xfId="1" applyFont="1" applyFill="1" applyBorder="1" applyAlignment="1">
      <alignment horizontal="center"/>
    </xf>
    <xf numFmtId="0" fontId="24" fillId="2" borderId="29" xfId="0" applyFont="1" applyFill="1" applyBorder="1" applyAlignment="1">
      <alignment horizontal="center"/>
    </xf>
    <xf numFmtId="0" fontId="24" fillId="2" borderId="30" xfId="0" applyFont="1" applyFill="1" applyBorder="1" applyAlignment="1">
      <alignment horizontal="center"/>
    </xf>
    <xf numFmtId="0" fontId="39" fillId="16" borderId="52" xfId="0" applyFont="1" applyFill="1" applyBorder="1" applyAlignment="1">
      <alignment horizontal="left" vertical="top" wrapText="1"/>
    </xf>
    <xf numFmtId="0" fontId="24" fillId="2" borderId="28" xfId="0" applyFont="1" applyFill="1" applyBorder="1" applyAlignment="1">
      <alignment horizontal="center"/>
    </xf>
    <xf numFmtId="0" fontId="37" fillId="2" borderId="53" xfId="0" applyFont="1" applyFill="1" applyBorder="1" applyAlignment="1">
      <alignment horizontal="center"/>
    </xf>
    <xf numFmtId="0" fontId="37" fillId="2" borderId="54" xfId="0" applyFont="1" applyFill="1" applyBorder="1" applyAlignment="1">
      <alignment horizontal="center"/>
    </xf>
    <xf numFmtId="0" fontId="37" fillId="2" borderId="34" xfId="0" applyFont="1" applyFill="1" applyBorder="1"/>
    <xf numFmtId="0" fontId="8" fillId="16" borderId="34" xfId="0" applyFont="1" applyFill="1" applyBorder="1" applyAlignment="1">
      <alignment horizontal="center"/>
    </xf>
    <xf numFmtId="0" fontId="37" fillId="2" borderId="22" xfId="0" applyFont="1" applyFill="1" applyBorder="1" applyAlignment="1">
      <alignment horizontal="center"/>
    </xf>
    <xf numFmtId="14" fontId="8" fillId="4" borderId="1" xfId="0" applyNumberFormat="1" applyFont="1" applyFill="1" applyBorder="1" applyAlignment="1">
      <alignment horizontal="center"/>
    </xf>
    <xf numFmtId="49" fontId="0" fillId="2" borderId="0" xfId="0" applyNumberFormat="1" applyFill="1"/>
    <xf numFmtId="49" fontId="0" fillId="2" borderId="0" xfId="0" applyNumberFormat="1" applyFill="1" applyAlignment="1">
      <alignment horizontal="center"/>
    </xf>
    <xf numFmtId="0" fontId="2" fillId="2" borderId="0" xfId="0" applyFont="1" applyFill="1"/>
    <xf numFmtId="0" fontId="2" fillId="2" borderId="0" xfId="0" applyFont="1" applyFill="1" applyAlignment="1">
      <alignment horizontal="center"/>
    </xf>
    <xf numFmtId="0" fontId="24" fillId="16" borderId="55" xfId="0" applyFont="1" applyFill="1" applyBorder="1" applyAlignment="1">
      <alignment horizontal="center"/>
    </xf>
    <xf numFmtId="0" fontId="37" fillId="16" borderId="55" xfId="0" applyFont="1" applyFill="1" applyBorder="1" applyAlignment="1">
      <alignment horizontal="center"/>
    </xf>
    <xf numFmtId="0" fontId="37" fillId="16" borderId="55" xfId="0" applyFont="1" applyFill="1" applyBorder="1"/>
    <xf numFmtId="0" fontId="8" fillId="16" borderId="55" xfId="0" applyFont="1" applyFill="1" applyBorder="1"/>
    <xf numFmtId="0" fontId="8" fillId="16" borderId="56" xfId="0" applyFont="1" applyFill="1" applyBorder="1"/>
    <xf numFmtId="0" fontId="37" fillId="16" borderId="16" xfId="0" applyFont="1" applyFill="1" applyBorder="1"/>
    <xf numFmtId="0" fontId="8" fillId="4" borderId="37" xfId="0" applyFont="1" applyFill="1" applyBorder="1" applyAlignment="1">
      <alignment horizontal="center"/>
    </xf>
    <xf numFmtId="0" fontId="14" fillId="16" borderId="1" xfId="0" applyFont="1" applyFill="1" applyBorder="1" applyAlignment="1">
      <alignment horizontal="left"/>
    </xf>
    <xf numFmtId="0" fontId="44" fillId="16" borderId="0" xfId="0" applyFont="1" applyFill="1"/>
    <xf numFmtId="0" fontId="15" fillId="16" borderId="0" xfId="0" applyFont="1" applyFill="1"/>
    <xf numFmtId="0" fontId="45" fillId="16" borderId="0" xfId="0" applyFont="1" applyFill="1"/>
    <xf numFmtId="0" fontId="8" fillId="16" borderId="49" xfId="0" applyFont="1" applyFill="1" applyBorder="1"/>
    <xf numFmtId="0" fontId="8" fillId="16" borderId="50" xfId="0" applyFont="1" applyFill="1" applyBorder="1"/>
    <xf numFmtId="14" fontId="8" fillId="16" borderId="9" xfId="0" applyNumberFormat="1" applyFont="1" applyFill="1" applyBorder="1" applyAlignment="1">
      <alignment horizontal="center"/>
    </xf>
    <xf numFmtId="0" fontId="8" fillId="16" borderId="9" xfId="0" applyFont="1" applyFill="1" applyBorder="1" applyAlignment="1">
      <alignment horizontal="center"/>
    </xf>
    <xf numFmtId="0" fontId="37" fillId="16" borderId="53" xfId="0" applyFont="1" applyFill="1" applyBorder="1" applyAlignment="1">
      <alignment horizontal="center"/>
    </xf>
    <xf numFmtId="0" fontId="8" fillId="16" borderId="37" xfId="0" applyFont="1" applyFill="1" applyBorder="1"/>
    <xf numFmtId="0" fontId="63" fillId="2" borderId="0" xfId="0" applyFont="1" applyFill="1" applyAlignment="1">
      <alignment horizontal="center"/>
    </xf>
    <xf numFmtId="0" fontId="63" fillId="16" borderId="0" xfId="0" applyFont="1" applyFill="1" applyAlignment="1">
      <alignment horizontal="center"/>
    </xf>
    <xf numFmtId="0" fontId="63" fillId="2" borderId="0" xfId="0" applyFont="1" applyFill="1" applyAlignment="1">
      <alignment horizontal="left" vertical="center"/>
    </xf>
    <xf numFmtId="0" fontId="9" fillId="2" borderId="0" xfId="0" applyFont="1" applyFill="1" applyAlignment="1">
      <alignment horizontal="center" vertical="center" wrapText="1"/>
    </xf>
    <xf numFmtId="0" fontId="14" fillId="12" borderId="27" xfId="0" applyFont="1" applyFill="1" applyBorder="1" applyAlignment="1">
      <alignment horizontal="left" vertical="center"/>
    </xf>
    <xf numFmtId="166" fontId="14" fillId="2" borderId="1" xfId="0" applyNumberFormat="1" applyFont="1" applyFill="1" applyBorder="1" applyAlignment="1">
      <alignment horizontal="center" vertical="center" wrapText="1"/>
    </xf>
    <xf numFmtId="0" fontId="39" fillId="16" borderId="0" xfId="0" applyFont="1" applyFill="1"/>
    <xf numFmtId="0" fontId="64" fillId="16" borderId="0" xfId="0" applyFont="1" applyFill="1"/>
    <xf numFmtId="0" fontId="65" fillId="16" borderId="0" xfId="0" applyFont="1" applyFill="1"/>
    <xf numFmtId="0" fontId="65" fillId="16" borderId="0" xfId="0" applyFont="1" applyFill="1" applyAlignment="1">
      <alignment horizontal="center"/>
    </xf>
    <xf numFmtId="0" fontId="47" fillId="11" borderId="0" xfId="0" applyFont="1" applyFill="1"/>
    <xf numFmtId="0" fontId="66" fillId="16" borderId="13" xfId="0" applyFont="1" applyFill="1" applyBorder="1" applyAlignment="1">
      <alignment horizontal="center"/>
    </xf>
    <xf numFmtId="0" fontId="66" fillId="16" borderId="8" xfId="0" applyFont="1" applyFill="1" applyBorder="1" applyAlignment="1">
      <alignment horizontal="center"/>
    </xf>
    <xf numFmtId="0" fontId="66" fillId="16" borderId="41" xfId="0" applyFont="1" applyFill="1" applyBorder="1" applyAlignment="1">
      <alignment horizontal="center"/>
    </xf>
    <xf numFmtId="0" fontId="66" fillId="16" borderId="53" xfId="0" applyFont="1" applyFill="1" applyBorder="1" applyAlignment="1">
      <alignment horizontal="center"/>
    </xf>
    <xf numFmtId="0" fontId="37" fillId="16" borderId="19" xfId="0" applyFont="1" applyFill="1" applyBorder="1"/>
    <xf numFmtId="0" fontId="24" fillId="16" borderId="28" xfId="0" applyFont="1" applyFill="1" applyBorder="1" applyAlignment="1">
      <alignment horizontal="center"/>
    </xf>
    <xf numFmtId="0" fontId="37" fillId="16" borderId="57" xfId="0" applyFont="1" applyFill="1" applyBorder="1" applyAlignment="1">
      <alignment horizontal="center"/>
    </xf>
    <xf numFmtId="0" fontId="37" fillId="16" borderId="29" xfId="0" applyFont="1" applyFill="1" applyBorder="1" applyAlignment="1">
      <alignment horizontal="center"/>
    </xf>
    <xf numFmtId="0" fontId="37" fillId="16" borderId="30" xfId="0" applyFont="1" applyFill="1" applyBorder="1" applyAlignment="1">
      <alignment horizontal="center"/>
    </xf>
    <xf numFmtId="0" fontId="37" fillId="16" borderId="6" xfId="0" applyFont="1" applyFill="1" applyBorder="1" applyAlignment="1">
      <alignment horizontal="center"/>
    </xf>
    <xf numFmtId="0" fontId="37" fillId="16" borderId="53" xfId="0" applyFont="1" applyFill="1" applyBorder="1"/>
    <xf numFmtId="0" fontId="37" fillId="16" borderId="6" xfId="0" applyFont="1" applyFill="1" applyBorder="1"/>
    <xf numFmtId="1" fontId="37" fillId="16" borderId="53" xfId="0" applyNumberFormat="1" applyFont="1" applyFill="1" applyBorder="1" applyAlignment="1">
      <alignment horizontal="center"/>
    </xf>
    <xf numFmtId="1" fontId="37" fillId="16" borderId="8" xfId="0" applyNumberFormat="1" applyFont="1" applyFill="1" applyBorder="1" applyAlignment="1">
      <alignment horizontal="center"/>
    </xf>
    <xf numFmtId="1" fontId="37" fillId="16" borderId="41" xfId="0" applyNumberFormat="1" applyFont="1" applyFill="1" applyBorder="1" applyAlignment="1">
      <alignment horizontal="center"/>
    </xf>
    <xf numFmtId="0" fontId="37" fillId="16" borderId="28" xfId="0" applyFont="1" applyFill="1" applyBorder="1"/>
    <xf numFmtId="0" fontId="37" fillId="16" borderId="57" xfId="0" applyFont="1" applyFill="1" applyBorder="1"/>
    <xf numFmtId="1" fontId="37" fillId="16" borderId="28" xfId="0" applyNumberFormat="1" applyFont="1" applyFill="1" applyBorder="1" applyAlignment="1">
      <alignment horizontal="center"/>
    </xf>
    <xf numFmtId="1" fontId="37" fillId="16" borderId="29" xfId="0" applyNumberFormat="1" applyFont="1" applyFill="1" applyBorder="1" applyAlignment="1">
      <alignment horizontal="center"/>
    </xf>
    <xf numFmtId="1" fontId="37" fillId="16" borderId="30" xfId="0" applyNumberFormat="1" applyFont="1" applyFill="1" applyBorder="1" applyAlignment="1">
      <alignment horizontal="center"/>
    </xf>
    <xf numFmtId="0" fontId="8" fillId="16" borderId="12" xfId="0" applyFont="1" applyFill="1" applyBorder="1" applyAlignment="1">
      <alignment horizontal="center"/>
    </xf>
    <xf numFmtId="0" fontId="8" fillId="16" borderId="4" xfId="0" applyFont="1" applyFill="1" applyBorder="1" applyAlignment="1">
      <alignment horizontal="center"/>
    </xf>
    <xf numFmtId="0" fontId="8" fillId="16" borderId="44" xfId="0" applyFont="1" applyFill="1" applyBorder="1" applyAlignment="1">
      <alignment horizontal="center"/>
    </xf>
    <xf numFmtId="0" fontId="8" fillId="2" borderId="28" xfId="0" applyFont="1" applyFill="1" applyBorder="1" applyAlignment="1">
      <alignment horizontal="center"/>
    </xf>
    <xf numFmtId="0" fontId="8" fillId="2" borderId="31" xfId="0" applyFont="1" applyFill="1" applyBorder="1" applyAlignment="1">
      <alignment horizontal="center"/>
    </xf>
    <xf numFmtId="0" fontId="8" fillId="2" borderId="32" xfId="0" applyFont="1" applyFill="1" applyBorder="1" applyAlignment="1">
      <alignment horizontal="center"/>
    </xf>
    <xf numFmtId="0" fontId="0" fillId="0" borderId="58" xfId="0" applyBorder="1"/>
    <xf numFmtId="0" fontId="14" fillId="16" borderId="4" xfId="0" applyFont="1" applyFill="1" applyBorder="1"/>
    <xf numFmtId="0" fontId="8" fillId="16" borderId="9" xfId="0" applyFont="1" applyFill="1" applyBorder="1"/>
    <xf numFmtId="0" fontId="8" fillId="2" borderId="59" xfId="0" applyFont="1" applyFill="1" applyBorder="1" applyAlignment="1">
      <alignment horizontal="center"/>
    </xf>
    <xf numFmtId="0" fontId="8" fillId="2" borderId="23" xfId="0" applyFont="1" applyFill="1" applyBorder="1" applyAlignment="1">
      <alignment horizontal="center"/>
    </xf>
    <xf numFmtId="14" fontId="37" fillId="2" borderId="1" xfId="0" applyNumberFormat="1" applyFont="1" applyFill="1" applyBorder="1"/>
    <xf numFmtId="0" fontId="8" fillId="2" borderId="10" xfId="0" applyFont="1" applyFill="1" applyBorder="1"/>
    <xf numFmtId="0" fontId="37" fillId="16" borderId="2" xfId="0" applyFont="1" applyFill="1" applyBorder="1" applyAlignment="1">
      <alignment horizontal="center"/>
    </xf>
    <xf numFmtId="0" fontId="24" fillId="2" borderId="42" xfId="0" applyFont="1" applyFill="1" applyBorder="1" applyAlignment="1">
      <alignment horizontal="center"/>
    </xf>
    <xf numFmtId="0" fontId="24" fillId="2" borderId="39" xfId="0" applyFont="1" applyFill="1" applyBorder="1" applyAlignment="1">
      <alignment horizontal="center"/>
    </xf>
    <xf numFmtId="0" fontId="24" fillId="2" borderId="33" xfId="0" applyFont="1" applyFill="1" applyBorder="1" applyAlignment="1">
      <alignment horizontal="center"/>
    </xf>
    <xf numFmtId="0" fontId="8" fillId="2" borderId="29" xfId="0" applyFont="1" applyFill="1" applyBorder="1" applyAlignment="1">
      <alignment horizontal="center"/>
    </xf>
    <xf numFmtId="0" fontId="8" fillId="2" borderId="30" xfId="0" applyFont="1" applyFill="1" applyBorder="1" applyAlignment="1">
      <alignment horizontal="center"/>
    </xf>
    <xf numFmtId="0" fontId="50" fillId="0" borderId="0" xfId="0" applyFont="1" applyAlignment="1">
      <alignment horizontal="center"/>
    </xf>
    <xf numFmtId="9" fontId="0" fillId="0" borderId="0" xfId="0" applyNumberFormat="1" applyAlignment="1">
      <alignment horizontal="center"/>
    </xf>
    <xf numFmtId="0" fontId="8" fillId="2" borderId="60" xfId="0" applyFont="1" applyFill="1" applyBorder="1" applyAlignment="1">
      <alignment horizontal="center"/>
    </xf>
    <xf numFmtId="0" fontId="8" fillId="24" borderId="1" xfId="0" applyFont="1" applyFill="1" applyBorder="1"/>
    <xf numFmtId="0" fontId="0" fillId="16" borderId="16" xfId="0" applyFill="1" applyBorder="1"/>
    <xf numFmtId="0" fontId="0" fillId="16" borderId="17" xfId="0" applyFill="1" applyBorder="1"/>
    <xf numFmtId="0" fontId="0" fillId="16" borderId="18" xfId="0" applyFill="1" applyBorder="1"/>
    <xf numFmtId="9" fontId="8" fillId="16" borderId="0" xfId="1" applyFont="1" applyFill="1" applyBorder="1"/>
    <xf numFmtId="0" fontId="0" fillId="16" borderId="20" xfId="0" applyFill="1" applyBorder="1"/>
    <xf numFmtId="0" fontId="0" fillId="16" borderId="22" xfId="0" applyFill="1" applyBorder="1"/>
    <xf numFmtId="0" fontId="0" fillId="16" borderId="23" xfId="0" applyFill="1" applyBorder="1"/>
    <xf numFmtId="0" fontId="2" fillId="16" borderId="0" xfId="0" applyFont="1" applyFill="1"/>
    <xf numFmtId="0" fontId="8" fillId="16" borderId="19" xfId="0" applyFont="1" applyFill="1" applyBorder="1" applyAlignment="1">
      <alignment horizontal="center"/>
    </xf>
    <xf numFmtId="0" fontId="8" fillId="16" borderId="21" xfId="0" applyFont="1" applyFill="1" applyBorder="1" applyAlignment="1">
      <alignment horizontal="center"/>
    </xf>
    <xf numFmtId="0" fontId="69" fillId="16" borderId="0" xfId="0" applyFont="1" applyFill="1"/>
    <xf numFmtId="0" fontId="8" fillId="16" borderId="24" xfId="0" applyFont="1" applyFill="1" applyBorder="1" applyAlignment="1">
      <alignment horizontal="center"/>
    </xf>
    <xf numFmtId="0" fontId="8" fillId="16" borderId="24" xfId="0" applyFont="1" applyFill="1" applyBorder="1"/>
    <xf numFmtId="0" fontId="14" fillId="16" borderId="61" xfId="0" applyFont="1" applyFill="1" applyBorder="1" applyAlignment="1">
      <alignment horizontal="center"/>
    </xf>
    <xf numFmtId="0" fontId="14" fillId="16" borderId="62" xfId="0" applyFont="1" applyFill="1" applyBorder="1" applyAlignment="1">
      <alignment horizontal="center"/>
    </xf>
    <xf numFmtId="0" fontId="14" fillId="16" borderId="63" xfId="0" applyFont="1" applyFill="1" applyBorder="1" applyAlignment="1">
      <alignment horizontal="center"/>
    </xf>
    <xf numFmtId="0" fontId="14" fillId="16" borderId="64" xfId="0" applyFont="1" applyFill="1" applyBorder="1" applyAlignment="1">
      <alignment horizontal="center"/>
    </xf>
    <xf numFmtId="0" fontId="14" fillId="16" borderId="65" xfId="0" applyFont="1" applyFill="1" applyBorder="1" applyAlignment="1">
      <alignment horizontal="center"/>
    </xf>
    <xf numFmtId="0" fontId="8" fillId="16" borderId="64" xfId="0" applyFont="1" applyFill="1" applyBorder="1" applyAlignment="1">
      <alignment horizontal="center"/>
    </xf>
    <xf numFmtId="0" fontId="8" fillId="16" borderId="62" xfId="0" applyFont="1" applyFill="1" applyBorder="1" applyAlignment="1">
      <alignment horizontal="center"/>
    </xf>
    <xf numFmtId="0" fontId="68" fillId="16" borderId="24" xfId="0" applyFont="1" applyFill="1" applyBorder="1" applyAlignment="1">
      <alignment horizontal="center"/>
    </xf>
    <xf numFmtId="0" fontId="8" fillId="24" borderId="27" xfId="0" applyFont="1" applyFill="1" applyBorder="1" applyAlignment="1">
      <alignment horizontal="center"/>
    </xf>
    <xf numFmtId="0" fontId="70" fillId="16" borderId="0" xfId="0" applyFont="1" applyFill="1" applyAlignment="1">
      <alignment horizontal="left"/>
    </xf>
    <xf numFmtId="0" fontId="71" fillId="16" borderId="0" xfId="0" applyFont="1" applyFill="1" applyAlignment="1">
      <alignment horizontal="center"/>
    </xf>
    <xf numFmtId="0" fontId="71" fillId="16" borderId="0" xfId="0" applyFont="1" applyFill="1"/>
    <xf numFmtId="0" fontId="70" fillId="16" borderId="0" xfId="0" applyFont="1" applyFill="1" applyAlignment="1">
      <alignment horizontal="center"/>
    </xf>
    <xf numFmtId="0" fontId="71" fillId="16" borderId="13" xfId="0" applyFont="1" applyFill="1" applyBorder="1" applyAlignment="1">
      <alignment horizontal="center"/>
    </xf>
    <xf numFmtId="0" fontId="71" fillId="16" borderId="13" xfId="0" applyFont="1" applyFill="1" applyBorder="1"/>
    <xf numFmtId="0" fontId="15" fillId="16" borderId="0" xfId="0" applyFont="1" applyFill="1" applyAlignment="1">
      <alignment horizontal="center"/>
    </xf>
    <xf numFmtId="0" fontId="14" fillId="11" borderId="16" xfId="0" applyFont="1" applyFill="1" applyBorder="1" applyAlignment="1">
      <alignment horizontal="left"/>
    </xf>
    <xf numFmtId="0" fontId="8" fillId="11" borderId="17" xfId="0" applyFont="1" applyFill="1" applyBorder="1"/>
    <xf numFmtId="0" fontId="8" fillId="11" borderId="18" xfId="0" applyFont="1" applyFill="1" applyBorder="1"/>
    <xf numFmtId="0" fontId="8" fillId="11" borderId="19" xfId="0" applyFont="1" applyFill="1" applyBorder="1" applyAlignment="1">
      <alignment horizontal="center"/>
    </xf>
    <xf numFmtId="0" fontId="8" fillId="11" borderId="0" xfId="0" applyFont="1" applyFill="1"/>
    <xf numFmtId="0" fontId="8" fillId="11" borderId="20" xfId="0" applyFont="1" applyFill="1" applyBorder="1"/>
    <xf numFmtId="0" fontId="14" fillId="11" borderId="21" xfId="0" applyFont="1" applyFill="1" applyBorder="1" applyAlignment="1">
      <alignment horizontal="center"/>
    </xf>
    <xf numFmtId="0" fontId="8" fillId="11" borderId="22" xfId="0" applyFont="1" applyFill="1" applyBorder="1"/>
    <xf numFmtId="0" fontId="8" fillId="11" borderId="23" xfId="0" applyFont="1" applyFill="1" applyBorder="1"/>
    <xf numFmtId="0" fontId="6" fillId="16" borderId="19" xfId="0" applyFont="1" applyFill="1" applyBorder="1" applyAlignment="1">
      <alignment horizontal="center"/>
    </xf>
    <xf numFmtId="0" fontId="14" fillId="11" borderId="16" xfId="0" applyFont="1" applyFill="1" applyBorder="1"/>
    <xf numFmtId="0" fontId="8" fillId="11" borderId="21" xfId="0" applyFont="1" applyFill="1" applyBorder="1"/>
    <xf numFmtId="0" fontId="17" fillId="0" borderId="0" xfId="0" applyFont="1"/>
    <xf numFmtId="0" fontId="72" fillId="0" borderId="0" xfId="0" applyFont="1"/>
    <xf numFmtId="0" fontId="0" fillId="4" borderId="1" xfId="0" applyFill="1" applyBorder="1" applyAlignment="1">
      <alignment horizontal="center"/>
    </xf>
    <xf numFmtId="0" fontId="14" fillId="6" borderId="1" xfId="0" applyFont="1" applyFill="1" applyBorder="1" applyAlignment="1">
      <alignment horizontal="center"/>
    </xf>
    <xf numFmtId="0" fontId="14" fillId="6" borderId="1" xfId="0" applyFont="1" applyFill="1" applyBorder="1" applyAlignment="1">
      <alignment horizontal="left" vertical="center"/>
    </xf>
    <xf numFmtId="0" fontId="14" fillId="6" borderId="1" xfId="0" applyFont="1" applyFill="1" applyBorder="1" applyAlignment="1">
      <alignment horizontal="center" wrapText="1"/>
    </xf>
    <xf numFmtId="0" fontId="73" fillId="2" borderId="1" xfId="0" applyFont="1" applyFill="1" applyBorder="1" applyAlignment="1">
      <alignment horizontal="center" vertical="center" wrapText="1"/>
    </xf>
    <xf numFmtId="0" fontId="73" fillId="2" borderId="3" xfId="0" applyFont="1" applyFill="1" applyBorder="1" applyAlignment="1">
      <alignment horizontal="center" vertical="center"/>
    </xf>
    <xf numFmtId="0" fontId="74" fillId="2" borderId="12" xfId="0" applyFont="1" applyFill="1" applyBorder="1"/>
    <xf numFmtId="0" fontId="9" fillId="6" borderId="1" xfId="0" applyFont="1" applyFill="1" applyBorder="1" applyAlignment="1">
      <alignment horizontal="center"/>
    </xf>
    <xf numFmtId="0" fontId="74" fillId="2" borderId="7" xfId="0" applyFont="1" applyFill="1" applyBorder="1" applyAlignment="1">
      <alignment horizontal="left"/>
    </xf>
    <xf numFmtId="0" fontId="2" fillId="24" borderId="19" xfId="0" applyFont="1" applyFill="1" applyBorder="1"/>
    <xf numFmtId="0" fontId="0" fillId="24" borderId="0" xfId="0" applyFill="1"/>
    <xf numFmtId="0" fontId="5" fillId="24" borderId="0" xfId="0" applyFont="1" applyFill="1" applyAlignment="1">
      <alignment horizontal="center"/>
    </xf>
    <xf numFmtId="0" fontId="0" fillId="24" borderId="19" xfId="0" applyFill="1" applyBorder="1"/>
    <xf numFmtId="0" fontId="0" fillId="24" borderId="20" xfId="0" applyFill="1" applyBorder="1"/>
    <xf numFmtId="166" fontId="2" fillId="24" borderId="27" xfId="0" applyNumberFormat="1" applyFont="1" applyFill="1" applyBorder="1" applyAlignment="1">
      <alignment horizontal="center"/>
    </xf>
    <xf numFmtId="0" fontId="0" fillId="24" borderId="21" xfId="0" applyFill="1" applyBorder="1"/>
    <xf numFmtId="0" fontId="0" fillId="24" borderId="22" xfId="0" applyFill="1" applyBorder="1"/>
    <xf numFmtId="0" fontId="0" fillId="24" borderId="23" xfId="0" applyFill="1" applyBorder="1"/>
    <xf numFmtId="0" fontId="0" fillId="2" borderId="1" xfId="0" applyFill="1" applyBorder="1" applyAlignment="1">
      <alignment horizontal="center"/>
    </xf>
    <xf numFmtId="0" fontId="55" fillId="2" borderId="0" xfId="0" applyFont="1" applyFill="1"/>
    <xf numFmtId="0" fontId="43" fillId="2" borderId="0" xfId="0" applyFont="1" applyFill="1"/>
    <xf numFmtId="0" fontId="0" fillId="2" borderId="0" xfId="0" applyFill="1" applyAlignment="1">
      <alignment vertical="center"/>
    </xf>
    <xf numFmtId="0" fontId="75" fillId="24" borderId="16" xfId="0" applyFont="1" applyFill="1" applyBorder="1"/>
    <xf numFmtId="0" fontId="75" fillId="24" borderId="17" xfId="0" applyFont="1" applyFill="1" applyBorder="1"/>
    <xf numFmtId="0" fontId="76" fillId="24" borderId="17" xfId="0" applyFont="1" applyFill="1" applyBorder="1" applyAlignment="1">
      <alignment horizontal="center"/>
    </xf>
    <xf numFmtId="0" fontId="76" fillId="24" borderId="18" xfId="0" applyFont="1" applyFill="1" applyBorder="1" applyAlignment="1">
      <alignment horizontal="center"/>
    </xf>
    <xf numFmtId="0" fontId="77" fillId="24" borderId="19" xfId="0" applyFont="1" applyFill="1" applyBorder="1"/>
    <xf numFmtId="0" fontId="75" fillId="24" borderId="0" xfId="0" applyFont="1" applyFill="1"/>
    <xf numFmtId="0" fontId="76" fillId="24" borderId="0" xfId="0" applyFont="1" applyFill="1" applyAlignment="1">
      <alignment horizontal="center"/>
    </xf>
    <xf numFmtId="0" fontId="76" fillId="24" borderId="20" xfId="0" applyFont="1" applyFill="1" applyBorder="1" applyAlignment="1">
      <alignment horizontal="center"/>
    </xf>
    <xf numFmtId="0" fontId="0" fillId="2" borderId="16" xfId="0" applyFill="1" applyBorder="1"/>
    <xf numFmtId="0" fontId="0" fillId="2" borderId="17" xfId="0" applyFill="1" applyBorder="1"/>
    <xf numFmtId="0" fontId="0" fillId="2" borderId="18" xfId="0" applyFill="1" applyBorder="1"/>
    <xf numFmtId="0" fontId="0" fillId="2" borderId="19" xfId="0" applyFill="1" applyBorder="1"/>
    <xf numFmtId="0" fontId="0" fillId="2" borderId="20" xfId="0" applyFill="1" applyBorder="1"/>
    <xf numFmtId="0" fontId="2" fillId="2" borderId="19" xfId="0" applyFont="1" applyFill="1" applyBorder="1"/>
    <xf numFmtId="0" fontId="0" fillId="2" borderId="21" xfId="0" applyFill="1" applyBorder="1"/>
    <xf numFmtId="0" fontId="0" fillId="2" borderId="22" xfId="0" applyFill="1" applyBorder="1"/>
    <xf numFmtId="0" fontId="0" fillId="2" borderId="23" xfId="0" applyFill="1" applyBorder="1"/>
    <xf numFmtId="0" fontId="2" fillId="2" borderId="27" xfId="0" applyFont="1" applyFill="1" applyBorder="1" applyAlignment="1">
      <alignment horizontal="center"/>
    </xf>
    <xf numFmtId="0" fontId="5" fillId="2" borderId="0" xfId="0" applyFont="1" applyFill="1"/>
    <xf numFmtId="0" fontId="7" fillId="2" borderId="0" xfId="0" applyFont="1" applyFill="1"/>
    <xf numFmtId="0" fontId="0" fillId="19" borderId="1" xfId="0" applyFill="1" applyBorder="1"/>
    <xf numFmtId="0" fontId="78" fillId="2" borderId="0" xfId="0" applyFont="1" applyFill="1"/>
    <xf numFmtId="0" fontId="79" fillId="2" borderId="0" xfId="0" applyFont="1" applyFill="1" applyAlignment="1">
      <alignment horizontal="center"/>
    </xf>
    <xf numFmtId="0" fontId="79" fillId="2" borderId="0" xfId="0" applyFont="1" applyFill="1"/>
    <xf numFmtId="0" fontId="80" fillId="2" borderId="0" xfId="0" applyFont="1" applyFill="1"/>
    <xf numFmtId="166" fontId="5" fillId="11" borderId="1" xfId="0" applyNumberFormat="1" applyFont="1" applyFill="1" applyBorder="1" applyAlignment="1">
      <alignment horizontal="center" vertical="center"/>
    </xf>
    <xf numFmtId="0" fontId="0" fillId="25" borderId="0" xfId="0" applyFill="1" applyAlignment="1">
      <alignment horizontal="center"/>
    </xf>
    <xf numFmtId="0" fontId="0" fillId="25" borderId="0" xfId="0" applyFill="1"/>
    <xf numFmtId="0" fontId="8" fillId="2" borderId="0" xfId="0" applyFont="1" applyFill="1" applyAlignment="1">
      <alignment horizontal="left"/>
    </xf>
    <xf numFmtId="0" fontId="81" fillId="20" borderId="0" xfId="0" applyFont="1" applyFill="1" applyAlignment="1">
      <alignment horizontal="center" vertical="center" wrapText="1"/>
    </xf>
    <xf numFmtId="0" fontId="82" fillId="20" borderId="0" xfId="0" applyFont="1" applyFill="1"/>
    <xf numFmtId="0" fontId="31" fillId="0" borderId="0" xfId="2"/>
    <xf numFmtId="0" fontId="21" fillId="0" borderId="0" xfId="0" applyFont="1"/>
    <xf numFmtId="0" fontId="0" fillId="2" borderId="17" xfId="0" applyFill="1" applyBorder="1" applyAlignment="1">
      <alignment horizontal="center"/>
    </xf>
    <xf numFmtId="0" fontId="2" fillId="2" borderId="0" xfId="0" applyFont="1" applyFill="1" applyAlignment="1">
      <alignment horizontal="left"/>
    </xf>
    <xf numFmtId="0" fontId="2" fillId="2" borderId="16" xfId="0" applyFont="1" applyFill="1" applyBorder="1" applyAlignment="1">
      <alignment horizontal="left"/>
    </xf>
    <xf numFmtId="0" fontId="2" fillId="2" borderId="17" xfId="0" applyFont="1" applyFill="1" applyBorder="1" applyAlignment="1">
      <alignment horizontal="left"/>
    </xf>
    <xf numFmtId="0" fontId="2" fillId="2" borderId="17" xfId="0" applyFont="1" applyFill="1" applyBorder="1" applyAlignment="1">
      <alignment horizontal="center"/>
    </xf>
    <xf numFmtId="0" fontId="2" fillId="2" borderId="17" xfId="0" applyFont="1" applyFill="1" applyBorder="1"/>
    <xf numFmtId="0" fontId="2" fillId="2" borderId="21" xfId="0" applyFont="1" applyFill="1" applyBorder="1"/>
    <xf numFmtId="0" fontId="2" fillId="2" borderId="22" xfId="0" applyFont="1" applyFill="1" applyBorder="1"/>
    <xf numFmtId="0" fontId="0" fillId="2" borderId="16" xfId="0" applyFill="1" applyBorder="1" applyAlignment="1">
      <alignment horizontal="center"/>
    </xf>
    <xf numFmtId="0" fontId="0" fillId="2" borderId="18" xfId="0" applyFill="1" applyBorder="1" applyAlignment="1">
      <alignment horizontal="center"/>
    </xf>
    <xf numFmtId="0" fontId="0" fillId="2" borderId="19" xfId="0" applyFill="1" applyBorder="1" applyAlignment="1">
      <alignment horizontal="center"/>
    </xf>
    <xf numFmtId="0" fontId="0" fillId="2" borderId="20" xfId="0" applyFill="1" applyBorder="1" applyAlignment="1">
      <alignment horizontal="center"/>
    </xf>
    <xf numFmtId="0" fontId="0" fillId="2" borderId="21" xfId="0" applyFill="1" applyBorder="1" applyAlignment="1">
      <alignment horizontal="center"/>
    </xf>
    <xf numFmtId="0" fontId="0" fillId="2" borderId="22" xfId="0" applyFill="1" applyBorder="1" applyAlignment="1">
      <alignment horizontal="center"/>
    </xf>
    <xf numFmtId="0" fontId="0" fillId="2" borderId="23" xfId="0" applyFill="1" applyBorder="1" applyAlignment="1">
      <alignment horizontal="center"/>
    </xf>
    <xf numFmtId="0" fontId="8" fillId="19" borderId="1" xfId="0" applyFont="1" applyFill="1" applyBorder="1" applyAlignment="1">
      <alignment horizontal="left"/>
    </xf>
    <xf numFmtId="0" fontId="25" fillId="16" borderId="1" xfId="0" applyFont="1" applyFill="1" applyBorder="1" applyAlignment="1">
      <alignment horizontal="center"/>
    </xf>
    <xf numFmtId="1" fontId="25" fillId="16" borderId="1" xfId="0" applyNumberFormat="1" applyFont="1" applyFill="1" applyBorder="1" applyAlignment="1">
      <alignment horizontal="center"/>
    </xf>
    <xf numFmtId="0" fontId="25" fillId="16" borderId="1" xfId="0" applyFont="1" applyFill="1" applyBorder="1"/>
    <xf numFmtId="0" fontId="8" fillId="16" borderId="0" xfId="0" applyFont="1" applyFill="1" applyAlignment="1">
      <alignment horizontal="left"/>
    </xf>
    <xf numFmtId="14" fontId="8" fillId="4" borderId="1" xfId="0" applyNumberFormat="1" applyFont="1" applyFill="1" applyBorder="1" applyAlignment="1">
      <alignment horizontal="left"/>
    </xf>
    <xf numFmtId="0" fontId="8" fillId="4" borderId="1" xfId="0" applyFont="1" applyFill="1" applyBorder="1" applyAlignment="1">
      <alignment horizontal="left"/>
    </xf>
    <xf numFmtId="10" fontId="8" fillId="2" borderId="4" xfId="1" applyNumberFormat="1" applyFont="1" applyFill="1" applyBorder="1" applyAlignment="1">
      <alignment horizontal="center" vertical="center" wrapText="1"/>
    </xf>
    <xf numFmtId="0" fontId="83" fillId="2" borderId="0" xfId="0" applyFont="1" applyFill="1"/>
    <xf numFmtId="0" fontId="84" fillId="5" borderId="1" xfId="0" applyFont="1" applyFill="1" applyBorder="1" applyAlignment="1">
      <alignment horizontal="center" vertical="center" wrapText="1"/>
    </xf>
    <xf numFmtId="2" fontId="84" fillId="2" borderId="0" xfId="0" applyNumberFormat="1" applyFont="1" applyFill="1" applyAlignment="1">
      <alignment horizontal="center"/>
    </xf>
    <xf numFmtId="0" fontId="85" fillId="2" borderId="0" xfId="0" applyFont="1" applyFill="1" applyAlignment="1">
      <alignment horizontal="center"/>
    </xf>
    <xf numFmtId="0" fontId="86" fillId="2" borderId="0" xfId="0" applyFont="1" applyFill="1" applyAlignment="1">
      <alignment vertical="center" wrapText="1"/>
    </xf>
    <xf numFmtId="0" fontId="81" fillId="2" borderId="0" xfId="0" applyFont="1" applyFill="1"/>
    <xf numFmtId="165" fontId="85" fillId="2" borderId="0" xfId="0" applyNumberFormat="1" applyFont="1" applyFill="1" applyAlignment="1">
      <alignment horizontal="center"/>
    </xf>
    <xf numFmtId="0" fontId="83" fillId="2" borderId="1" xfId="0" applyFont="1" applyFill="1" applyBorder="1"/>
    <xf numFmtId="0" fontId="83" fillId="2" borderId="0" xfId="0" applyFont="1" applyFill="1" applyAlignment="1">
      <alignment horizontal="center"/>
    </xf>
    <xf numFmtId="0" fontId="83" fillId="2" borderId="3" xfId="0" applyFont="1" applyFill="1" applyBorder="1"/>
    <xf numFmtId="0" fontId="83" fillId="2" borderId="6" xfId="0" applyFont="1" applyFill="1" applyBorder="1"/>
    <xf numFmtId="0" fontId="83" fillId="2" borderId="10" xfId="0" applyFont="1" applyFill="1" applyBorder="1"/>
    <xf numFmtId="0" fontId="83" fillId="2" borderId="12" xfId="0" applyFont="1" applyFill="1" applyBorder="1"/>
    <xf numFmtId="0" fontId="83" fillId="2" borderId="13" xfId="0" applyFont="1" applyFill="1" applyBorder="1"/>
    <xf numFmtId="0" fontId="83" fillId="2" borderId="14" xfId="0" applyFont="1" applyFill="1" applyBorder="1"/>
    <xf numFmtId="0" fontId="86" fillId="2" borderId="0" xfId="0" applyFont="1" applyFill="1" applyAlignment="1">
      <alignment horizontal="center" vertical="center" wrapText="1"/>
    </xf>
    <xf numFmtId="0" fontId="8" fillId="0" borderId="0" xfId="0" applyFont="1" applyAlignment="1">
      <alignment horizontal="justify" wrapText="1"/>
    </xf>
    <xf numFmtId="10" fontId="83" fillId="2" borderId="0" xfId="0" applyNumberFormat="1" applyFont="1" applyFill="1"/>
    <xf numFmtId="9" fontId="83" fillId="2" borderId="0" xfId="1" applyFont="1" applyFill="1"/>
    <xf numFmtId="0" fontId="85" fillId="2" borderId="0" xfId="0" applyFont="1" applyFill="1"/>
    <xf numFmtId="2" fontId="83" fillId="2" borderId="0" xfId="0" applyNumberFormat="1" applyFont="1" applyFill="1" applyAlignment="1">
      <alignment horizontal="left"/>
    </xf>
    <xf numFmtId="2" fontId="87" fillId="2" borderId="0" xfId="0" applyNumberFormat="1" applyFont="1" applyFill="1" applyAlignment="1">
      <alignment horizontal="left"/>
    </xf>
    <xf numFmtId="0" fontId="8" fillId="0" borderId="0" xfId="0" applyFont="1" applyAlignment="1">
      <alignment wrapText="1"/>
    </xf>
    <xf numFmtId="0" fontId="89" fillId="5" borderId="1" xfId="0" applyFont="1" applyFill="1" applyBorder="1" applyAlignment="1">
      <alignment horizontal="center" vertical="center" wrapText="1"/>
    </xf>
    <xf numFmtId="0" fontId="8" fillId="0" borderId="0" xfId="0" applyFont="1" applyAlignment="1">
      <alignment horizontal="justify" vertical="center" wrapText="1"/>
    </xf>
    <xf numFmtId="0" fontId="8" fillId="19" borderId="1" xfId="0" applyFont="1" applyFill="1" applyBorder="1"/>
    <xf numFmtId="168" fontId="0" fillId="16" borderId="0" xfId="0" applyNumberFormat="1" applyFill="1"/>
    <xf numFmtId="167" fontId="0" fillId="16" borderId="0" xfId="1" applyNumberFormat="1" applyFont="1" applyFill="1"/>
    <xf numFmtId="0" fontId="9" fillId="0" borderId="0" xfId="0" applyFont="1"/>
    <xf numFmtId="0" fontId="8" fillId="6" borderId="1" xfId="0" applyFont="1" applyFill="1" applyBorder="1" applyAlignment="1">
      <alignment horizontal="center"/>
    </xf>
    <xf numFmtId="0" fontId="37" fillId="0" borderId="0" xfId="0" applyFont="1" applyAlignment="1">
      <alignment wrapText="1"/>
    </xf>
    <xf numFmtId="0" fontId="37" fillId="0" borderId="0" xfId="0" applyFont="1" applyAlignment="1">
      <alignment horizontal="justify" vertical="center" wrapText="1"/>
    </xf>
    <xf numFmtId="0" fontId="8" fillId="2" borderId="0" xfId="0" applyFont="1" applyFill="1" applyAlignment="1">
      <alignment horizontal="right"/>
    </xf>
    <xf numFmtId="0" fontId="14" fillId="16" borderId="1" xfId="1" applyNumberFormat="1" applyFont="1" applyFill="1" applyBorder="1" applyAlignment="1">
      <alignment horizontal="center"/>
    </xf>
    <xf numFmtId="0" fontId="14" fillId="2" borderId="1" xfId="1" applyNumberFormat="1" applyFont="1" applyFill="1" applyBorder="1" applyAlignment="1">
      <alignment horizontal="center"/>
    </xf>
    <xf numFmtId="9" fontId="8" fillId="2" borderId="1" xfId="1" applyFont="1" applyFill="1" applyBorder="1" applyAlignment="1">
      <alignment horizontal="center"/>
    </xf>
    <xf numFmtId="0" fontId="91" fillId="2" borderId="0" xfId="0" applyFont="1" applyFill="1"/>
    <xf numFmtId="0" fontId="91" fillId="2" borderId="0" xfId="0" applyFont="1" applyFill="1" applyAlignment="1">
      <alignment horizontal="right"/>
    </xf>
    <xf numFmtId="0" fontId="92" fillId="2" borderId="0" xfId="0" applyFont="1" applyFill="1"/>
    <xf numFmtId="0" fontId="93" fillId="2" borderId="0" xfId="2" applyFont="1" applyFill="1"/>
    <xf numFmtId="0" fontId="8" fillId="21" borderId="0" xfId="0" applyFont="1" applyFill="1"/>
    <xf numFmtId="0" fontId="14" fillId="21" borderId="0" xfId="0" applyFont="1" applyFill="1"/>
    <xf numFmtId="0" fontId="15" fillId="21" borderId="0" xfId="0" applyFont="1" applyFill="1"/>
    <xf numFmtId="0" fontId="15" fillId="21" borderId="0" xfId="0" applyFont="1" applyFill="1" applyAlignment="1">
      <alignment wrapText="1"/>
    </xf>
    <xf numFmtId="9" fontId="8" fillId="21" borderId="0" xfId="1" applyFont="1" applyFill="1"/>
    <xf numFmtId="12" fontId="8" fillId="0" borderId="0" xfId="0" applyNumberFormat="1" applyFont="1" applyAlignment="1">
      <alignment horizontal="justify" wrapText="1"/>
    </xf>
    <xf numFmtId="0" fontId="8" fillId="4" borderId="1" xfId="0" applyFont="1" applyFill="1" applyBorder="1"/>
    <xf numFmtId="0" fontId="63" fillId="16" borderId="0" xfId="0" applyFont="1" applyFill="1"/>
    <xf numFmtId="0" fontId="8" fillId="16" borderId="0" xfId="0" applyFont="1" applyFill="1" applyAlignment="1">
      <alignment horizontal="justify" vertical="center" wrapText="1"/>
    </xf>
    <xf numFmtId="0" fontId="94" fillId="16" borderId="0" xfId="0" applyFont="1" applyFill="1"/>
    <xf numFmtId="0" fontId="95" fillId="16" borderId="0" xfId="0" applyFont="1" applyFill="1" applyAlignment="1">
      <alignment horizontal="right"/>
    </xf>
    <xf numFmtId="0" fontId="94" fillId="16" borderId="0" xfId="0" applyFont="1" applyFill="1" applyAlignment="1">
      <alignment horizontal="right"/>
    </xf>
    <xf numFmtId="0" fontId="98" fillId="0" borderId="0" xfId="0" applyFont="1"/>
    <xf numFmtId="0" fontId="96" fillId="4" borderId="2" xfId="0" applyFont="1" applyFill="1" applyBorder="1" applyAlignment="1">
      <alignment vertical="center" wrapText="1"/>
    </xf>
    <xf numFmtId="0" fontId="96" fillId="4" borderId="2" xfId="0" applyFont="1" applyFill="1" applyBorder="1" applyAlignment="1">
      <alignment horizontal="center" vertical="center" wrapText="1"/>
    </xf>
    <xf numFmtId="0" fontId="96" fillId="4" borderId="3" xfId="0" applyFont="1" applyFill="1" applyBorder="1" applyAlignment="1">
      <alignment horizontal="center" vertical="center" wrapText="1"/>
    </xf>
    <xf numFmtId="0" fontId="97" fillId="4" borderId="1" xfId="0" applyFont="1" applyFill="1" applyBorder="1" applyAlignment="1">
      <alignment horizontal="center" vertical="center" wrapText="1"/>
    </xf>
    <xf numFmtId="0" fontId="97" fillId="4" borderId="0" xfId="0" applyFont="1" applyFill="1" applyAlignment="1">
      <alignment horizontal="center" vertical="center" wrapText="1"/>
    </xf>
    <xf numFmtId="0" fontId="10" fillId="4" borderId="1" xfId="0" applyFont="1" applyFill="1" applyBorder="1" applyAlignment="1">
      <alignment vertical="center" wrapText="1"/>
    </xf>
    <xf numFmtId="0" fontId="96" fillId="4" borderId="4" xfId="0" applyFont="1" applyFill="1" applyBorder="1" applyAlignment="1">
      <alignment horizontal="center"/>
    </xf>
    <xf numFmtId="0" fontId="10" fillId="4" borderId="4" xfId="0" applyFont="1" applyFill="1" applyBorder="1" applyAlignment="1">
      <alignment horizontal="center"/>
    </xf>
    <xf numFmtId="2" fontId="97" fillId="4" borderId="1" xfId="0" applyNumberFormat="1" applyFont="1" applyFill="1" applyBorder="1" applyAlignment="1">
      <alignment horizontal="center"/>
    </xf>
    <xf numFmtId="2" fontId="97" fillId="4" borderId="0" xfId="0" applyNumberFormat="1" applyFont="1" applyFill="1" applyAlignment="1">
      <alignment horizontal="center"/>
    </xf>
    <xf numFmtId="0" fontId="10" fillId="4" borderId="1" xfId="0" applyFont="1" applyFill="1" applyBorder="1"/>
    <xf numFmtId="0" fontId="96" fillId="4" borderId="1" xfId="0" applyFont="1" applyFill="1" applyBorder="1" applyAlignment="1">
      <alignment horizontal="justify" vertical="center" wrapText="1"/>
    </xf>
    <xf numFmtId="0" fontId="96" fillId="4" borderId="1" xfId="0" applyFont="1" applyFill="1" applyBorder="1" applyAlignment="1">
      <alignment horizontal="center" vertical="center" wrapText="1"/>
    </xf>
    <xf numFmtId="0" fontId="96" fillId="4" borderId="4" xfId="0" applyFont="1" applyFill="1" applyBorder="1" applyAlignment="1">
      <alignment horizontal="center" vertical="center" wrapText="1"/>
    </xf>
    <xf numFmtId="0" fontId="97" fillId="4" borderId="1" xfId="0" applyFont="1" applyFill="1" applyBorder="1" applyAlignment="1">
      <alignment vertical="center" wrapText="1"/>
    </xf>
    <xf numFmtId="0" fontId="10" fillId="4" borderId="1" xfId="0" applyFont="1" applyFill="1" applyBorder="1" applyAlignment="1">
      <alignment horizontal="justify" vertical="center" wrapText="1"/>
    </xf>
    <xf numFmtId="0" fontId="10" fillId="4" borderId="1" xfId="0" applyFont="1" applyFill="1" applyBorder="1" applyAlignment="1">
      <alignment horizontal="center" vertical="center" wrapText="1"/>
    </xf>
    <xf numFmtId="0" fontId="97" fillId="4" borderId="1" xfId="0" applyFont="1" applyFill="1" applyBorder="1" applyAlignment="1">
      <alignment horizontal="center"/>
    </xf>
    <xf numFmtId="164" fontId="10" fillId="4" borderId="4" xfId="1" applyNumberFormat="1" applyFont="1" applyFill="1" applyBorder="1" applyAlignment="1">
      <alignment horizontal="center" vertical="center" wrapText="1"/>
    </xf>
    <xf numFmtId="0" fontId="10" fillId="4" borderId="4" xfId="0" applyFont="1" applyFill="1" applyBorder="1" applyAlignment="1">
      <alignment horizontal="center" vertical="center" wrapText="1"/>
    </xf>
    <xf numFmtId="0" fontId="11" fillId="4" borderId="1" xfId="0" applyFont="1" applyFill="1" applyBorder="1" applyAlignment="1">
      <alignment horizontal="center"/>
    </xf>
    <xf numFmtId="0" fontId="10" fillId="4" borderId="0" xfId="0" applyFont="1" applyFill="1"/>
    <xf numFmtId="0" fontId="60" fillId="4" borderId="1" xfId="0" applyFont="1" applyFill="1" applyBorder="1" applyAlignment="1">
      <alignment horizontal="center"/>
    </xf>
    <xf numFmtId="164" fontId="96" fillId="4" borderId="1" xfId="1" applyNumberFormat="1" applyFont="1" applyFill="1" applyBorder="1" applyAlignment="1">
      <alignment horizontal="center" vertical="center" wrapText="1"/>
    </xf>
    <xf numFmtId="0" fontId="96" fillId="4" borderId="1" xfId="0" applyFont="1" applyFill="1" applyBorder="1" applyAlignment="1">
      <alignment vertical="center" wrapText="1"/>
    </xf>
    <xf numFmtId="0" fontId="96" fillId="4" borderId="5" xfId="0" applyFont="1" applyFill="1" applyBorder="1" applyAlignment="1">
      <alignment vertical="center" wrapText="1"/>
    </xf>
    <xf numFmtId="0" fontId="96" fillId="4" borderId="1" xfId="0" applyFont="1" applyFill="1" applyBorder="1" applyAlignment="1">
      <alignment horizontal="center" vertical="center"/>
    </xf>
    <xf numFmtId="0" fontId="97" fillId="4" borderId="1" xfId="0" applyFont="1" applyFill="1" applyBorder="1" applyAlignment="1">
      <alignment horizontal="center" vertical="center"/>
    </xf>
    <xf numFmtId="1" fontId="96" fillId="4" borderId="1" xfId="0" applyNumberFormat="1" applyFont="1" applyFill="1" applyBorder="1" applyAlignment="1">
      <alignment horizontal="center"/>
    </xf>
    <xf numFmtId="1" fontId="97" fillId="4" borderId="1" xfId="0" applyNumberFormat="1" applyFont="1" applyFill="1" applyBorder="1" applyAlignment="1">
      <alignment horizontal="center"/>
    </xf>
    <xf numFmtId="0" fontId="11" fillId="4" borderId="4" xfId="0" applyFont="1" applyFill="1" applyBorder="1" applyAlignment="1">
      <alignment horizontal="center"/>
    </xf>
    <xf numFmtId="1" fontId="96" fillId="4" borderId="1" xfId="0" applyNumberFormat="1" applyFont="1" applyFill="1" applyBorder="1" applyAlignment="1">
      <alignment horizontal="center" vertical="center"/>
    </xf>
    <xf numFmtId="1" fontId="97" fillId="4" borderId="1" xfId="0" applyNumberFormat="1" applyFont="1" applyFill="1" applyBorder="1" applyAlignment="1">
      <alignment horizontal="center" vertical="center"/>
    </xf>
    <xf numFmtId="0" fontId="8" fillId="16" borderId="0" xfId="0" applyFont="1" applyFill="1" applyAlignment="1">
      <alignment horizontal="center" vertical="center" wrapText="1"/>
    </xf>
    <xf numFmtId="0" fontId="8" fillId="4" borderId="2" xfId="0" applyFont="1" applyFill="1" applyBorder="1" applyAlignment="1">
      <alignment horizontal="center" vertical="center" wrapText="1"/>
    </xf>
    <xf numFmtId="0" fontId="14" fillId="16" borderId="0" xfId="0" applyFont="1" applyFill="1" applyAlignment="1">
      <alignment horizontal="center" vertical="center" wrapText="1"/>
    </xf>
    <xf numFmtId="0" fontId="14" fillId="16" borderId="0" xfId="0" applyFont="1" applyFill="1" applyAlignment="1">
      <alignment vertical="center" wrapText="1"/>
    </xf>
    <xf numFmtId="0" fontId="8" fillId="16" borderId="0" xfId="0" applyFont="1" applyFill="1" applyAlignment="1">
      <alignment vertical="center" wrapText="1"/>
    </xf>
    <xf numFmtId="0" fontId="14" fillId="16" borderId="8" xfId="0" applyFont="1" applyFill="1" applyBorder="1" applyAlignment="1">
      <alignment horizontal="center" vertical="center" wrapText="1"/>
    </xf>
    <xf numFmtId="0" fontId="99" fillId="16" borderId="0" xfId="0" applyFont="1" applyFill="1" applyAlignment="1">
      <alignment horizontal="right"/>
    </xf>
    <xf numFmtId="0" fontId="98" fillId="16" borderId="0" xfId="0" applyFont="1" applyFill="1" applyAlignment="1">
      <alignment horizontal="right"/>
    </xf>
    <xf numFmtId="0" fontId="11" fillId="16" borderId="0" xfId="0" applyFont="1" applyFill="1" applyAlignment="1">
      <alignment horizontal="right"/>
    </xf>
    <xf numFmtId="0" fontId="51" fillId="16" borderId="0" xfId="0" applyFont="1" applyFill="1" applyAlignment="1">
      <alignment horizontal="left"/>
    </xf>
    <xf numFmtId="9" fontId="8" fillId="11" borderId="22" xfId="1" applyFont="1" applyFill="1" applyBorder="1"/>
    <xf numFmtId="9" fontId="8" fillId="16" borderId="0" xfId="0" applyNumberFormat="1" applyFont="1" applyFill="1"/>
    <xf numFmtId="9" fontId="8" fillId="11" borderId="0" xfId="1" applyFont="1" applyFill="1" applyBorder="1"/>
    <xf numFmtId="0" fontId="14" fillId="11" borderId="19" xfId="0" applyFont="1" applyFill="1" applyBorder="1" applyAlignment="1">
      <alignment horizontal="center"/>
    </xf>
    <xf numFmtId="0" fontId="15" fillId="11" borderId="19" xfId="0" applyFont="1" applyFill="1" applyBorder="1"/>
    <xf numFmtId="0" fontId="8" fillId="11" borderId="19" xfId="0" applyFont="1" applyFill="1" applyBorder="1" applyAlignment="1">
      <alignment horizontal="right"/>
    </xf>
    <xf numFmtId="168" fontId="8" fillId="11" borderId="0" xfId="0" applyNumberFormat="1" applyFont="1" applyFill="1"/>
    <xf numFmtId="0" fontId="0" fillId="11" borderId="17" xfId="0" applyFill="1" applyBorder="1"/>
    <xf numFmtId="0" fontId="0" fillId="11" borderId="0" xfId="0" applyFill="1"/>
    <xf numFmtId="0" fontId="0" fillId="11" borderId="22" xfId="0" applyFill="1" applyBorder="1"/>
    <xf numFmtId="0" fontId="8" fillId="11" borderId="0" xfId="0" applyFont="1" applyFill="1" applyAlignment="1">
      <alignment horizontal="left"/>
    </xf>
    <xf numFmtId="0" fontId="8" fillId="4" borderId="0" xfId="0" applyFont="1" applyFill="1"/>
    <xf numFmtId="0" fontId="14" fillId="4" borderId="0" xfId="0" applyFont="1" applyFill="1"/>
    <xf numFmtId="0" fontId="15" fillId="4" borderId="0" xfId="0" applyFont="1" applyFill="1"/>
    <xf numFmtId="0" fontId="15" fillId="4" borderId="0" xfId="0" applyFont="1" applyFill="1" applyAlignment="1">
      <alignment wrapText="1"/>
    </xf>
    <xf numFmtId="10" fontId="8" fillId="16" borderId="0" xfId="1" applyNumberFormat="1" applyFont="1" applyFill="1" applyBorder="1" applyAlignment="1">
      <alignment horizontal="center"/>
    </xf>
    <xf numFmtId="0" fontId="100" fillId="16" borderId="0" xfId="0" applyFont="1" applyFill="1" applyAlignment="1">
      <alignment horizontal="center"/>
    </xf>
    <xf numFmtId="164" fontId="8" fillId="4" borderId="1" xfId="1" applyNumberFormat="1" applyFont="1" applyFill="1" applyBorder="1" applyAlignment="1">
      <alignment horizontal="center"/>
    </xf>
    <xf numFmtId="0" fontId="52" fillId="16" borderId="0" xfId="0" applyFont="1" applyFill="1"/>
    <xf numFmtId="0" fontId="8" fillId="27" borderId="1" xfId="0" applyFont="1" applyFill="1" applyBorder="1" applyAlignment="1">
      <alignment horizontal="center"/>
    </xf>
    <xf numFmtId="0" fontId="27" fillId="17" borderId="0" xfId="0" applyFont="1" applyFill="1"/>
    <xf numFmtId="0" fontId="102" fillId="16" borderId="0" xfId="0" applyFont="1" applyFill="1" applyAlignment="1">
      <alignment horizontal="center"/>
    </xf>
    <xf numFmtId="0" fontId="102" fillId="16" borderId="0" xfId="0" applyFont="1" applyFill="1"/>
    <xf numFmtId="0" fontId="10" fillId="4" borderId="2" xfId="0" applyFont="1" applyFill="1" applyBorder="1" applyAlignment="1">
      <alignment horizontal="center" vertical="center" wrapText="1"/>
    </xf>
    <xf numFmtId="0" fontId="10" fillId="4" borderId="5" xfId="0" applyFont="1" applyFill="1" applyBorder="1" applyAlignment="1">
      <alignment horizontal="center" vertical="center" wrapText="1"/>
    </xf>
    <xf numFmtId="9" fontId="10" fillId="4" borderId="1" xfId="0" applyNumberFormat="1" applyFont="1" applyFill="1" applyBorder="1" applyAlignment="1">
      <alignment horizontal="center" vertical="center" wrapText="1"/>
    </xf>
    <xf numFmtId="9" fontId="10" fillId="4" borderId="1" xfId="1" applyFont="1" applyFill="1" applyBorder="1" applyAlignment="1">
      <alignment horizontal="center" vertical="center" wrapText="1"/>
    </xf>
    <xf numFmtId="0" fontId="10" fillId="4" borderId="3" xfId="0" applyFont="1" applyFill="1" applyBorder="1" applyAlignment="1">
      <alignment horizontal="center" vertical="center" wrapText="1"/>
    </xf>
    <xf numFmtId="0" fontId="10" fillId="4" borderId="12" xfId="0" applyFont="1" applyFill="1" applyBorder="1" applyAlignment="1">
      <alignment horizontal="center" vertical="center" wrapText="1"/>
    </xf>
    <xf numFmtId="166" fontId="10" fillId="4" borderId="1" xfId="0" applyNumberFormat="1" applyFont="1" applyFill="1" applyBorder="1" applyAlignment="1">
      <alignment horizontal="center" vertical="center" wrapText="1"/>
    </xf>
    <xf numFmtId="0" fontId="98" fillId="7" borderId="0" xfId="0" applyFont="1" applyFill="1"/>
    <xf numFmtId="0" fontId="51" fillId="0" borderId="0" xfId="0" applyFont="1" applyAlignment="1">
      <alignment vertical="center"/>
    </xf>
    <xf numFmtId="0" fontId="8" fillId="0" borderId="0" xfId="0" applyFont="1" applyAlignment="1">
      <alignment horizontal="justify" vertical="center"/>
    </xf>
    <xf numFmtId="2" fontId="97" fillId="4" borderId="1" xfId="0" applyNumberFormat="1" applyFont="1" applyFill="1" applyBorder="1" applyAlignment="1">
      <alignment horizontal="center" vertical="center"/>
    </xf>
    <xf numFmtId="1" fontId="37" fillId="16" borderId="0" xfId="0" applyNumberFormat="1" applyFont="1" applyFill="1" applyAlignment="1">
      <alignment horizontal="left"/>
    </xf>
    <xf numFmtId="165" fontId="0" fillId="16" borderId="0" xfId="0" applyNumberFormat="1" applyFill="1"/>
    <xf numFmtId="170" fontId="0" fillId="16" borderId="0" xfId="0" applyNumberFormat="1" applyFill="1"/>
    <xf numFmtId="0" fontId="0" fillId="2" borderId="2" xfId="0" applyFill="1" applyBorder="1"/>
    <xf numFmtId="0" fontId="75" fillId="2" borderId="0" xfId="0" applyFont="1" applyFill="1"/>
    <xf numFmtId="0" fontId="69" fillId="16" borderId="16" xfId="0" applyFont="1" applyFill="1" applyBorder="1"/>
    <xf numFmtId="0" fontId="69" fillId="16" borderId="17" xfId="0" applyFont="1" applyFill="1" applyBorder="1"/>
    <xf numFmtId="0" fontId="69" fillId="16" borderId="18" xfId="0" applyFont="1" applyFill="1" applyBorder="1"/>
    <xf numFmtId="0" fontId="69" fillId="16" borderId="19" xfId="0" applyFont="1" applyFill="1" applyBorder="1"/>
    <xf numFmtId="0" fontId="69" fillId="16" borderId="20" xfId="0" applyFont="1" applyFill="1" applyBorder="1"/>
    <xf numFmtId="0" fontId="71" fillId="16" borderId="20" xfId="0" applyFont="1" applyFill="1" applyBorder="1"/>
    <xf numFmtId="0" fontId="103" fillId="16" borderId="0" xfId="0" applyFont="1" applyFill="1"/>
    <xf numFmtId="0" fontId="70" fillId="16" borderId="16" xfId="0" applyFont="1" applyFill="1" applyBorder="1" applyAlignment="1">
      <alignment horizontal="left"/>
    </xf>
    <xf numFmtId="0" fontId="71" fillId="16" borderId="17" xfId="0" applyFont="1" applyFill="1" applyBorder="1"/>
    <xf numFmtId="0" fontId="71" fillId="16" borderId="18" xfId="0" applyFont="1" applyFill="1" applyBorder="1"/>
    <xf numFmtId="0" fontId="71" fillId="16" borderId="19" xfId="0" applyFont="1" applyFill="1" applyBorder="1" applyAlignment="1">
      <alignment horizontal="center"/>
    </xf>
    <xf numFmtId="0" fontId="70" fillId="16" borderId="21" xfId="0" applyFont="1" applyFill="1" applyBorder="1" applyAlignment="1">
      <alignment horizontal="center"/>
    </xf>
    <xf numFmtId="0" fontId="71" fillId="16" borderId="22" xfId="0" applyFont="1" applyFill="1" applyBorder="1"/>
    <xf numFmtId="9" fontId="71" fillId="16" borderId="22" xfId="1" applyFont="1" applyFill="1" applyBorder="1"/>
    <xf numFmtId="0" fontId="71" fillId="16" borderId="23" xfId="0" applyFont="1" applyFill="1" applyBorder="1"/>
    <xf numFmtId="0" fontId="0" fillId="16" borderId="19" xfId="0" applyFill="1" applyBorder="1"/>
    <xf numFmtId="0" fontId="0" fillId="16" borderId="21" xfId="0" applyFill="1" applyBorder="1"/>
    <xf numFmtId="0" fontId="104" fillId="2" borderId="2" xfId="0" applyFont="1" applyFill="1" applyBorder="1" applyAlignment="1">
      <alignment horizontal="center" vertical="center" wrapText="1"/>
    </xf>
    <xf numFmtId="0" fontId="20" fillId="2" borderId="0" xfId="0" applyFont="1" applyFill="1"/>
    <xf numFmtId="0" fontId="2" fillId="4" borderId="27" xfId="0" applyFont="1" applyFill="1" applyBorder="1"/>
    <xf numFmtId="0" fontId="2" fillId="16" borderId="0" xfId="0" applyFont="1" applyFill="1" applyAlignment="1">
      <alignment horizontal="center"/>
    </xf>
    <xf numFmtId="0" fontId="9" fillId="16" borderId="0" xfId="0" applyFont="1" applyFill="1"/>
    <xf numFmtId="0" fontId="14" fillId="6" borderId="1" xfId="0" applyFont="1" applyFill="1" applyBorder="1"/>
    <xf numFmtId="0" fontId="14" fillId="2" borderId="0" xfId="0" applyFont="1" applyFill="1" applyAlignment="1">
      <alignment horizontal="center" vertical="center"/>
    </xf>
    <xf numFmtId="0" fontId="14" fillId="19" borderId="1" xfId="0" applyFont="1" applyFill="1" applyBorder="1" applyAlignment="1">
      <alignment horizontal="center" vertical="center"/>
    </xf>
    <xf numFmtId="0" fontId="7" fillId="2" borderId="0" xfId="0" applyFont="1" applyFill="1" applyAlignment="1">
      <alignment horizontal="center"/>
    </xf>
    <xf numFmtId="0" fontId="14" fillId="11" borderId="1" xfId="0" applyFont="1" applyFill="1" applyBorder="1" applyAlignment="1">
      <alignment horizontal="center"/>
    </xf>
    <xf numFmtId="0" fontId="14" fillId="9" borderId="8" xfId="0" applyFont="1" applyFill="1" applyBorder="1" applyAlignment="1">
      <alignment horizontal="center"/>
    </xf>
    <xf numFmtId="0" fontId="8" fillId="6" borderId="3" xfId="0" applyFont="1" applyFill="1" applyBorder="1"/>
    <xf numFmtId="0" fontId="9" fillId="2" borderId="3" xfId="0" applyFont="1" applyFill="1" applyBorder="1" applyAlignment="1">
      <alignment horizontal="center"/>
    </xf>
    <xf numFmtId="0" fontId="14" fillId="2" borderId="12" xfId="0" applyFont="1" applyFill="1" applyBorder="1" applyAlignment="1">
      <alignment horizontal="center"/>
    </xf>
    <xf numFmtId="0" fontId="14" fillId="11" borderId="45" xfId="0" applyFont="1" applyFill="1" applyBorder="1" applyAlignment="1">
      <alignment horizontal="center"/>
    </xf>
    <xf numFmtId="0" fontId="8" fillId="2" borderId="51" xfId="0" applyFont="1" applyFill="1" applyBorder="1" applyAlignment="1">
      <alignment horizontal="center"/>
    </xf>
    <xf numFmtId="0" fontId="14" fillId="2" borderId="51" xfId="0" applyFont="1" applyFill="1" applyBorder="1" applyAlignment="1">
      <alignment horizontal="center"/>
    </xf>
    <xf numFmtId="0" fontId="106" fillId="2" borderId="20" xfId="0" applyFont="1" applyFill="1" applyBorder="1" applyAlignment="1">
      <alignment horizontal="center"/>
    </xf>
    <xf numFmtId="2" fontId="8" fillId="2" borderId="51" xfId="0" applyNumberFormat="1" applyFont="1" applyFill="1" applyBorder="1" applyAlignment="1">
      <alignment horizontal="center"/>
    </xf>
    <xf numFmtId="2" fontId="107" fillId="2" borderId="20" xfId="0" applyNumberFormat="1" applyFont="1" applyFill="1" applyBorder="1"/>
    <xf numFmtId="0" fontId="14" fillId="2" borderId="49" xfId="0" applyFont="1" applyFill="1" applyBorder="1" applyAlignment="1">
      <alignment horizontal="center"/>
    </xf>
    <xf numFmtId="0" fontId="108" fillId="2" borderId="20" xfId="0" applyFont="1" applyFill="1" applyBorder="1"/>
    <xf numFmtId="0" fontId="14" fillId="12" borderId="49" xfId="0" applyFont="1" applyFill="1" applyBorder="1" applyAlignment="1">
      <alignment horizontal="center"/>
    </xf>
    <xf numFmtId="0" fontId="14" fillId="6" borderId="49" xfId="0" applyFont="1" applyFill="1" applyBorder="1" applyAlignment="1">
      <alignment horizontal="center"/>
    </xf>
    <xf numFmtId="0" fontId="8" fillId="2" borderId="49" xfId="0" applyFont="1" applyFill="1" applyBorder="1" applyAlignment="1">
      <alignment horizontal="center"/>
    </xf>
    <xf numFmtId="0" fontId="14" fillId="2" borderId="50" xfId="0" applyFont="1" applyFill="1" applyBorder="1" applyAlignment="1">
      <alignment horizontal="center"/>
    </xf>
    <xf numFmtId="0" fontId="98" fillId="2" borderId="0" xfId="0" applyFont="1" applyFill="1"/>
    <xf numFmtId="0" fontId="93" fillId="2" borderId="0" xfId="2" applyFont="1" applyFill="1" applyBorder="1"/>
    <xf numFmtId="0" fontId="14" fillId="2" borderId="12" xfId="0" applyFont="1" applyFill="1" applyBorder="1" applyAlignment="1">
      <alignment horizontal="right"/>
    </xf>
    <xf numFmtId="0" fontId="0" fillId="2" borderId="0" xfId="0" applyFill="1" applyAlignment="1">
      <alignment horizontal="right"/>
    </xf>
    <xf numFmtId="0" fontId="8" fillId="6" borderId="66" xfId="0" applyFont="1" applyFill="1" applyBorder="1" applyAlignment="1">
      <alignment horizontal="right"/>
    </xf>
    <xf numFmtId="0" fontId="9" fillId="2" borderId="66" xfId="0" applyFont="1" applyFill="1" applyBorder="1" applyAlignment="1">
      <alignment horizontal="right"/>
    </xf>
    <xf numFmtId="0" fontId="8" fillId="2" borderId="59" xfId="0" applyFont="1" applyFill="1" applyBorder="1" applyAlignment="1">
      <alignment horizontal="right"/>
    </xf>
    <xf numFmtId="0" fontId="14" fillId="28" borderId="0" xfId="0" applyFont="1" applyFill="1"/>
    <xf numFmtId="0" fontId="14" fillId="28" borderId="0" xfId="0" applyFont="1" applyFill="1" applyAlignment="1">
      <alignment horizontal="center"/>
    </xf>
    <xf numFmtId="0" fontId="8" fillId="28" borderId="0" xfId="0" applyFont="1" applyFill="1"/>
    <xf numFmtId="0" fontId="14" fillId="6" borderId="8" xfId="0" applyFont="1" applyFill="1" applyBorder="1" applyAlignment="1">
      <alignment horizontal="center"/>
    </xf>
    <xf numFmtId="0" fontId="14" fillId="2" borderId="3" xfId="0" applyFont="1" applyFill="1" applyBorder="1"/>
    <xf numFmtId="0" fontId="14" fillId="9" borderId="45" xfId="0" applyFont="1" applyFill="1" applyBorder="1" applyAlignment="1">
      <alignment horizontal="center"/>
    </xf>
    <xf numFmtId="0" fontId="0" fillId="2" borderId="51" xfId="0" applyFill="1" applyBorder="1" applyAlignment="1">
      <alignment horizontal="center"/>
    </xf>
    <xf numFmtId="0" fontId="14" fillId="28" borderId="51" xfId="0" applyFont="1" applyFill="1" applyBorder="1" applyAlignment="1">
      <alignment horizontal="center"/>
    </xf>
    <xf numFmtId="0" fontId="2" fillId="2" borderId="56" xfId="0" applyFont="1" applyFill="1" applyBorder="1"/>
    <xf numFmtId="0" fontId="75" fillId="2" borderId="67" xfId="0" applyFont="1" applyFill="1" applyBorder="1" applyAlignment="1">
      <alignment horizontal="right"/>
    </xf>
    <xf numFmtId="0" fontId="0" fillId="2" borderId="67" xfId="0" applyFill="1" applyBorder="1"/>
    <xf numFmtId="0" fontId="8" fillId="2" borderId="67" xfId="0" applyFont="1" applyFill="1" applyBorder="1"/>
    <xf numFmtId="0" fontId="106" fillId="2" borderId="67" xfId="0" applyFont="1" applyFill="1" applyBorder="1" applyAlignment="1">
      <alignment horizontal="center"/>
    </xf>
    <xf numFmtId="2" fontId="106" fillId="2" borderId="67" xfId="0" applyNumberFormat="1" applyFont="1" applyFill="1" applyBorder="1" applyAlignment="1">
      <alignment horizontal="center" vertical="center"/>
    </xf>
    <xf numFmtId="0" fontId="0" fillId="2" borderId="48" xfId="0" applyFill="1" applyBorder="1"/>
    <xf numFmtId="0" fontId="109" fillId="2" borderId="67" xfId="0" applyFont="1" applyFill="1" applyBorder="1" applyAlignment="1">
      <alignment horizontal="center"/>
    </xf>
    <xf numFmtId="0" fontId="8" fillId="2" borderId="68" xfId="0" applyFont="1" applyFill="1" applyBorder="1" applyAlignment="1">
      <alignment horizontal="center"/>
    </xf>
    <xf numFmtId="0" fontId="8" fillId="2" borderId="69" xfId="0" applyFont="1" applyFill="1" applyBorder="1" applyAlignment="1">
      <alignment horizontal="center"/>
    </xf>
    <xf numFmtId="165" fontId="10" fillId="2" borderId="0" xfId="0" applyNumberFormat="1" applyFont="1" applyFill="1" applyAlignment="1">
      <alignment horizontal="center"/>
    </xf>
    <xf numFmtId="0" fontId="110" fillId="2" borderId="0" xfId="0" applyFont="1" applyFill="1"/>
    <xf numFmtId="0" fontId="16" fillId="2" borderId="7" xfId="0" applyFont="1" applyFill="1" applyBorder="1"/>
    <xf numFmtId="0" fontId="10" fillId="2" borderId="1" xfId="0" applyFont="1" applyFill="1" applyBorder="1" applyAlignment="1">
      <alignment horizontal="justify" vertical="center"/>
    </xf>
    <xf numFmtId="0" fontId="0" fillId="4" borderId="4" xfId="0" applyFill="1" applyBorder="1" applyAlignment="1">
      <alignment horizontal="center"/>
    </xf>
    <xf numFmtId="0" fontId="0" fillId="4" borderId="8" xfId="0" applyFill="1" applyBorder="1" applyAlignment="1">
      <alignment horizontal="center"/>
    </xf>
    <xf numFmtId="0" fontId="0" fillId="4" borderId="9" xfId="0" applyFill="1" applyBorder="1" applyAlignment="1">
      <alignment horizontal="center"/>
    </xf>
    <xf numFmtId="0" fontId="8" fillId="19" borderId="4" xfId="0" applyFont="1" applyFill="1" applyBorder="1" applyAlignment="1">
      <alignment horizontal="center"/>
    </xf>
    <xf numFmtId="0" fontId="8" fillId="19" borderId="9" xfId="0" applyFont="1" applyFill="1" applyBorder="1" applyAlignment="1">
      <alignment horizontal="center"/>
    </xf>
    <xf numFmtId="0" fontId="8" fillId="19" borderId="4" xfId="0" applyFont="1" applyFill="1" applyBorder="1" applyAlignment="1">
      <alignment horizontal="left"/>
    </xf>
    <xf numFmtId="0" fontId="8" fillId="19" borderId="8" xfId="0" applyFont="1" applyFill="1" applyBorder="1" applyAlignment="1">
      <alignment horizontal="left"/>
    </xf>
    <xf numFmtId="0" fontId="8" fillId="19" borderId="9" xfId="0" applyFont="1" applyFill="1" applyBorder="1" applyAlignment="1">
      <alignment horizontal="left"/>
    </xf>
    <xf numFmtId="0" fontId="8" fillId="4" borderId="4" xfId="0" applyFont="1" applyFill="1" applyBorder="1" applyAlignment="1">
      <alignment horizontal="left"/>
    </xf>
    <xf numFmtId="0" fontId="8" fillId="4" borderId="8" xfId="0" applyFont="1" applyFill="1" applyBorder="1" applyAlignment="1">
      <alignment horizontal="left"/>
    </xf>
    <xf numFmtId="0" fontId="8" fillId="4" borderId="9" xfId="0" applyFont="1" applyFill="1" applyBorder="1" applyAlignment="1">
      <alignment horizontal="left"/>
    </xf>
    <xf numFmtId="14" fontId="8" fillId="4" borderId="1" xfId="0" applyNumberFormat="1" applyFont="1" applyFill="1" applyBorder="1" applyAlignment="1">
      <alignment horizontal="center"/>
    </xf>
    <xf numFmtId="0" fontId="97" fillId="4" borderId="4" xfId="0" applyFont="1" applyFill="1" applyBorder="1" applyAlignment="1">
      <alignment horizontal="center" vertical="center" wrapText="1"/>
    </xf>
    <xf numFmtId="0" fontId="97" fillId="4" borderId="8" xfId="0" applyFont="1" applyFill="1" applyBorder="1" applyAlignment="1">
      <alignment horizontal="center" vertical="center" wrapText="1"/>
    </xf>
    <xf numFmtId="0" fontId="97" fillId="4" borderId="9" xfId="0" applyFont="1" applyFill="1" applyBorder="1" applyAlignment="1">
      <alignment horizontal="center" vertical="center" wrapText="1"/>
    </xf>
    <xf numFmtId="0" fontId="10" fillId="4" borderId="1" xfId="0" applyFont="1" applyFill="1" applyBorder="1" applyAlignment="1">
      <alignment horizontal="center"/>
    </xf>
    <xf numFmtId="0" fontId="96" fillId="4" borderId="4" xfId="0" applyFont="1" applyFill="1" applyBorder="1" applyAlignment="1">
      <alignment horizontal="center" vertical="center" wrapText="1"/>
    </xf>
    <xf numFmtId="0" fontId="96" fillId="4" borderId="9" xfId="0" applyFont="1" applyFill="1" applyBorder="1" applyAlignment="1">
      <alignment horizontal="center" vertical="center" wrapText="1"/>
    </xf>
    <xf numFmtId="0" fontId="96" fillId="4" borderId="12" xfId="0" applyFont="1" applyFill="1" applyBorder="1" applyAlignment="1">
      <alignment horizontal="center" vertical="center"/>
    </xf>
    <xf numFmtId="0" fontId="96" fillId="4" borderId="14" xfId="0" applyFont="1" applyFill="1" applyBorder="1" applyAlignment="1">
      <alignment horizontal="center" vertical="center"/>
    </xf>
    <xf numFmtId="0" fontId="96" fillId="4" borderId="1" xfId="0" applyFont="1" applyFill="1" applyBorder="1" applyAlignment="1">
      <alignment horizontal="center" vertical="center" wrapText="1"/>
    </xf>
    <xf numFmtId="0" fontId="25" fillId="16" borderId="1" xfId="0" applyFont="1" applyFill="1" applyBorder="1" applyAlignment="1">
      <alignment horizontal="left"/>
    </xf>
    <xf numFmtId="14" fontId="25" fillId="16" borderId="4" xfId="0" applyNumberFormat="1" applyFont="1" applyFill="1" applyBorder="1" applyAlignment="1">
      <alignment horizontal="left"/>
    </xf>
    <xf numFmtId="0" fontId="25" fillId="16" borderId="9" xfId="0" applyFont="1" applyFill="1" applyBorder="1" applyAlignment="1">
      <alignment horizontal="left"/>
    </xf>
    <xf numFmtId="0" fontId="84" fillId="5" borderId="4" xfId="0" applyFont="1" applyFill="1" applyBorder="1" applyAlignment="1">
      <alignment horizontal="center" vertical="center" wrapText="1"/>
    </xf>
    <xf numFmtId="0" fontId="84" fillId="5" borderId="9" xfId="0" applyFont="1" applyFill="1" applyBorder="1" applyAlignment="1">
      <alignment horizontal="center" vertical="center" wrapText="1"/>
    </xf>
    <xf numFmtId="0" fontId="14" fillId="2" borderId="12" xfId="0" applyFont="1" applyFill="1" applyBorder="1" applyAlignment="1">
      <alignment horizontal="center" vertical="center"/>
    </xf>
    <xf numFmtId="0" fontId="14" fillId="2" borderId="14" xfId="0" applyFont="1" applyFill="1" applyBorder="1" applyAlignment="1">
      <alignment horizontal="center" vertical="center"/>
    </xf>
    <xf numFmtId="0" fontId="14" fillId="7" borderId="4" xfId="0" applyFont="1" applyFill="1" applyBorder="1" applyAlignment="1">
      <alignment horizontal="center" vertical="center" wrapText="1"/>
    </xf>
    <xf numFmtId="0" fontId="14" fillId="7" borderId="9" xfId="0" applyFont="1" applyFill="1" applyBorder="1" applyAlignment="1">
      <alignment horizontal="center" vertical="center" wrapText="1"/>
    </xf>
    <xf numFmtId="0" fontId="15" fillId="2" borderId="1" xfId="0" applyFont="1" applyFill="1" applyBorder="1" applyAlignment="1">
      <alignment horizontal="left" vertical="center"/>
    </xf>
    <xf numFmtId="0" fontId="8" fillId="2" borderId="1" xfId="0" applyFont="1" applyFill="1" applyBorder="1" applyAlignment="1">
      <alignment horizontal="center"/>
    </xf>
    <xf numFmtId="0" fontId="14" fillId="5" borderId="1" xfId="0" applyFont="1" applyFill="1" applyBorder="1" applyAlignment="1">
      <alignment horizontal="center" vertical="center" wrapText="1"/>
    </xf>
    <xf numFmtId="0" fontId="30" fillId="18" borderId="24" xfId="0" applyFont="1" applyFill="1" applyBorder="1" applyAlignment="1">
      <alignment horizontal="center"/>
    </xf>
    <xf numFmtId="0" fontId="30" fillId="18" borderId="25" xfId="0" applyFont="1" applyFill="1" applyBorder="1" applyAlignment="1">
      <alignment horizontal="center"/>
    </xf>
    <xf numFmtId="0" fontId="30" fillId="18" borderId="26" xfId="0" applyFont="1" applyFill="1" applyBorder="1" applyAlignment="1">
      <alignment horizontal="center"/>
    </xf>
    <xf numFmtId="0" fontId="14" fillId="4" borderId="4" xfId="0" applyFont="1" applyFill="1" applyBorder="1" applyAlignment="1">
      <alignment horizontal="center"/>
    </xf>
    <xf numFmtId="0" fontId="14" fillId="4" borderId="8" xfId="0" applyFont="1" applyFill="1" applyBorder="1" applyAlignment="1">
      <alignment horizontal="center"/>
    </xf>
    <xf numFmtId="0" fontId="14" fillId="4" borderId="9" xfId="0" applyFont="1" applyFill="1" applyBorder="1" applyAlignment="1">
      <alignment horizontal="center"/>
    </xf>
    <xf numFmtId="0" fontId="22" fillId="0" borderId="4" xfId="0" applyFont="1" applyBorder="1" applyAlignment="1">
      <alignment horizontal="center" vertical="center" wrapText="1"/>
    </xf>
    <xf numFmtId="0" fontId="22" fillId="0" borderId="8" xfId="0" applyFont="1" applyBorder="1" applyAlignment="1">
      <alignment horizontal="center" vertical="center" wrapText="1"/>
    </xf>
    <xf numFmtId="0" fontId="22" fillId="0" borderId="9" xfId="0" applyFont="1" applyBorder="1" applyAlignment="1">
      <alignment horizontal="center" vertical="center" wrapText="1"/>
    </xf>
    <xf numFmtId="171" fontId="110" fillId="2" borderId="0" xfId="1" applyNumberFormat="1" applyFont="1" applyFill="1" applyAlignment="1">
      <alignment horizontal="center"/>
    </xf>
    <xf numFmtId="169" fontId="110" fillId="2" borderId="0" xfId="1" applyNumberFormat="1" applyFont="1" applyFill="1" applyAlignment="1">
      <alignment horizontal="center"/>
    </xf>
    <xf numFmtId="168" fontId="110" fillId="2" borderId="0" xfId="0" applyNumberFormat="1" applyFont="1" applyFill="1" applyAlignment="1">
      <alignment horizontal="center"/>
    </xf>
    <xf numFmtId="0" fontId="8" fillId="2" borderId="24" xfId="0" applyFont="1" applyFill="1" applyBorder="1" applyAlignment="1">
      <alignment horizontal="center"/>
    </xf>
    <xf numFmtId="0" fontId="8" fillId="2" borderId="25" xfId="0" applyFont="1" applyFill="1" applyBorder="1" applyAlignment="1">
      <alignment horizontal="center"/>
    </xf>
    <xf numFmtId="0" fontId="8" fillId="2" borderId="26" xfId="0" applyFont="1" applyFill="1" applyBorder="1" applyAlignment="1">
      <alignment horizontal="center"/>
    </xf>
    <xf numFmtId="0" fontId="7" fillId="2" borderId="0" xfId="0" applyFont="1" applyFill="1" applyAlignment="1">
      <alignment horizontal="center" wrapText="1"/>
    </xf>
    <xf numFmtId="0" fontId="90" fillId="16" borderId="0" xfId="0" applyFont="1" applyFill="1" applyAlignment="1">
      <alignment horizontal="center" vertical="top" wrapText="1"/>
    </xf>
    <xf numFmtId="0" fontId="63" fillId="2" borderId="0" xfId="0" applyFont="1" applyFill="1" applyAlignment="1">
      <alignment horizontal="center"/>
    </xf>
    <xf numFmtId="0" fontId="67" fillId="13" borderId="16" xfId="0" applyFont="1" applyFill="1" applyBorder="1" applyAlignment="1">
      <alignment horizontal="center" vertical="center" wrapText="1"/>
    </xf>
    <xf numFmtId="0" fontId="67" fillId="13" borderId="17" xfId="0" applyFont="1" applyFill="1" applyBorder="1" applyAlignment="1">
      <alignment horizontal="center" vertical="center" wrapText="1"/>
    </xf>
    <xf numFmtId="0" fontId="67" fillId="13" borderId="18" xfId="0" applyFont="1" applyFill="1" applyBorder="1" applyAlignment="1">
      <alignment horizontal="center" vertical="center" wrapText="1"/>
    </xf>
    <xf numFmtId="0" fontId="67" fillId="13" borderId="19" xfId="0" applyFont="1" applyFill="1" applyBorder="1" applyAlignment="1">
      <alignment horizontal="center" vertical="center" wrapText="1"/>
    </xf>
    <xf numFmtId="0" fontId="67" fillId="13" borderId="0" xfId="0" applyFont="1" applyFill="1" applyAlignment="1">
      <alignment horizontal="center" vertical="center" wrapText="1"/>
    </xf>
    <xf numFmtId="0" fontId="67" fillId="13" borderId="20" xfId="0" applyFont="1" applyFill="1" applyBorder="1" applyAlignment="1">
      <alignment horizontal="center" vertical="center" wrapText="1"/>
    </xf>
    <xf numFmtId="0" fontId="67" fillId="13" borderId="21" xfId="0" applyFont="1" applyFill="1" applyBorder="1" applyAlignment="1">
      <alignment horizontal="center" vertical="center" wrapText="1"/>
    </xf>
    <xf numFmtId="0" fontId="67" fillId="13" borderId="22" xfId="0" applyFont="1" applyFill="1" applyBorder="1" applyAlignment="1">
      <alignment horizontal="center" vertical="center" wrapText="1"/>
    </xf>
    <xf numFmtId="0" fontId="67" fillId="13" borderId="23" xfId="0" applyFont="1" applyFill="1" applyBorder="1" applyAlignment="1">
      <alignment horizontal="center" vertical="center" wrapText="1"/>
    </xf>
    <xf numFmtId="0" fontId="14" fillId="26" borderId="1" xfId="0" applyFont="1" applyFill="1" applyBorder="1" applyAlignment="1">
      <alignment horizontal="center"/>
    </xf>
    <xf numFmtId="0" fontId="14" fillId="2" borderId="1" xfId="0" applyFont="1" applyFill="1" applyBorder="1" applyAlignment="1">
      <alignment horizontal="center"/>
    </xf>
    <xf numFmtId="0" fontId="10" fillId="2" borderId="0" xfId="0" applyFont="1" applyFill="1" applyAlignment="1">
      <alignment horizontal="center" vertical="center" wrapText="1"/>
    </xf>
    <xf numFmtId="0" fontId="8" fillId="24" borderId="24" xfId="0" applyFont="1" applyFill="1" applyBorder="1" applyAlignment="1">
      <alignment horizontal="center"/>
    </xf>
    <xf numFmtId="0" fontId="8" fillId="24" borderId="25" xfId="0" applyFont="1" applyFill="1" applyBorder="1" applyAlignment="1">
      <alignment horizontal="center"/>
    </xf>
    <xf numFmtId="0" fontId="8" fillId="24" borderId="26" xfId="0" applyFont="1" applyFill="1" applyBorder="1" applyAlignment="1">
      <alignment horizontal="center"/>
    </xf>
    <xf numFmtId="0" fontId="37" fillId="16" borderId="21" xfId="0" applyFont="1" applyFill="1" applyBorder="1" applyAlignment="1">
      <alignment horizontal="center"/>
    </xf>
    <xf numFmtId="0" fontId="37" fillId="16" borderId="22" xfId="0" applyFont="1" applyFill="1" applyBorder="1" applyAlignment="1">
      <alignment horizontal="center"/>
    </xf>
    <xf numFmtId="0" fontId="37" fillId="16" borderId="23" xfId="0" applyFont="1" applyFill="1" applyBorder="1" applyAlignment="1">
      <alignment horizontal="center"/>
    </xf>
    <xf numFmtId="0" fontId="8" fillId="16" borderId="19" xfId="0" applyFont="1" applyFill="1" applyBorder="1" applyAlignment="1">
      <alignment horizontal="center"/>
    </xf>
    <xf numFmtId="0" fontId="8" fillId="16" borderId="0" xfId="0" applyFont="1" applyFill="1" applyAlignment="1">
      <alignment horizontal="center"/>
    </xf>
    <xf numFmtId="0" fontId="8" fillId="16" borderId="20" xfId="0" applyFont="1" applyFill="1" applyBorder="1" applyAlignment="1">
      <alignment horizontal="center"/>
    </xf>
    <xf numFmtId="0" fontId="37" fillId="16" borderId="19" xfId="0" applyFont="1" applyFill="1" applyBorder="1" applyAlignment="1">
      <alignment horizontal="center"/>
    </xf>
    <xf numFmtId="0" fontId="37" fillId="16" borderId="0" xfId="0" applyFont="1" applyFill="1" applyAlignment="1">
      <alignment horizontal="center"/>
    </xf>
    <xf numFmtId="0" fontId="37" fillId="16" borderId="20" xfId="0" applyFont="1" applyFill="1" applyBorder="1" applyAlignment="1">
      <alignment horizontal="center"/>
    </xf>
    <xf numFmtId="0" fontId="68" fillId="16" borderId="24" xfId="0" applyFont="1" applyFill="1" applyBorder="1" applyAlignment="1">
      <alignment horizontal="center"/>
    </xf>
    <xf numFmtId="0" fontId="68" fillId="16" borderId="25" xfId="0" applyFont="1" applyFill="1" applyBorder="1" applyAlignment="1">
      <alignment horizontal="center"/>
    </xf>
    <xf numFmtId="0" fontId="68" fillId="16" borderId="26" xfId="0" applyFont="1" applyFill="1" applyBorder="1" applyAlignment="1">
      <alignment horizontal="center"/>
    </xf>
    <xf numFmtId="169" fontId="8" fillId="11" borderId="0" xfId="1" applyNumberFormat="1" applyFont="1" applyFill="1" applyBorder="1" applyAlignment="1">
      <alignment horizontal="right"/>
    </xf>
    <xf numFmtId="169" fontId="8" fillId="11" borderId="20" xfId="1" applyNumberFormat="1" applyFont="1" applyFill="1" applyBorder="1" applyAlignment="1">
      <alignment horizontal="right"/>
    </xf>
    <xf numFmtId="0" fontId="14" fillId="16" borderId="24" xfId="0" applyFont="1" applyFill="1" applyBorder="1" applyAlignment="1">
      <alignment horizontal="center"/>
    </xf>
    <xf numFmtId="0" fontId="14" fillId="16" borderId="25" xfId="0" applyFont="1" applyFill="1" applyBorder="1" applyAlignment="1">
      <alignment horizontal="center"/>
    </xf>
    <xf numFmtId="0" fontId="14" fillId="16" borderId="26" xfId="0" applyFont="1" applyFill="1" applyBorder="1" applyAlignment="1">
      <alignment horizontal="center"/>
    </xf>
    <xf numFmtId="0" fontId="2" fillId="2" borderId="24" xfId="0" applyFont="1" applyFill="1" applyBorder="1" applyAlignment="1">
      <alignment horizontal="center"/>
    </xf>
    <xf numFmtId="0" fontId="2" fillId="2" borderId="26" xfId="0" applyFont="1" applyFill="1" applyBorder="1" applyAlignment="1">
      <alignment horizontal="center"/>
    </xf>
    <xf numFmtId="0" fontId="2" fillId="2" borderId="0" xfId="0" applyFont="1" applyFill="1" applyAlignment="1">
      <alignment horizontal="center"/>
    </xf>
    <xf numFmtId="0" fontId="3" fillId="10" borderId="4" xfId="0" applyFont="1" applyFill="1" applyBorder="1" applyAlignment="1">
      <alignment horizontal="center"/>
    </xf>
    <xf numFmtId="0" fontId="3" fillId="10" borderId="9" xfId="0" applyFont="1" applyFill="1" applyBorder="1" applyAlignment="1">
      <alignment horizontal="center"/>
    </xf>
  </cellXfs>
  <cellStyles count="3">
    <cellStyle name="Hyperlink" xfId="2" builtinId="8"/>
    <cellStyle name="Normal" xfId="0" builtinId="0"/>
    <cellStyle name="Per cent" xfId="1" builtinId="5"/>
  </cellStyles>
  <dxfs count="277">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4659260841701"/>
      </font>
    </dxf>
    <dxf>
      <font>
        <color theme="5" tint="-0.24994659260841701"/>
      </font>
    </dxf>
    <dxf>
      <font>
        <color theme="7" tint="-0.24994659260841701"/>
      </font>
    </dxf>
    <dxf>
      <font>
        <color rgb="FF0070C0"/>
      </font>
    </dxf>
    <dxf>
      <font>
        <color theme="5"/>
      </font>
    </dxf>
    <dxf>
      <font>
        <color rgb="FFFF0000"/>
      </font>
    </dxf>
    <dxf>
      <font>
        <color theme="9" tint="-0.24994659260841701"/>
      </font>
    </dxf>
    <dxf>
      <font>
        <color rgb="FF006100"/>
      </font>
      <fill>
        <patternFill>
          <bgColor rgb="FFC6EFCE"/>
        </patternFill>
      </fill>
    </dxf>
    <dxf>
      <font>
        <color rgb="FF9C0006"/>
      </font>
      <fill>
        <patternFill>
          <bgColor rgb="FFFFC7CE"/>
        </patternFill>
      </fill>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theme="7" tint="-0.24994659260841701"/>
      </font>
    </dxf>
    <dxf>
      <font>
        <color rgb="FF0070C0"/>
      </font>
    </dxf>
    <dxf>
      <font>
        <color theme="5"/>
      </font>
    </dxf>
    <dxf>
      <font>
        <color rgb="FFFF0000"/>
      </font>
    </dxf>
    <dxf>
      <font>
        <color theme="9" tint="-0.24994659260841701"/>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theme="7" tint="-0.24994659260841701"/>
      </font>
    </dxf>
    <dxf>
      <font>
        <color rgb="FF0070C0"/>
      </font>
    </dxf>
    <dxf>
      <font>
        <color theme="5"/>
      </font>
    </dxf>
    <dxf>
      <font>
        <color rgb="FFFF0000"/>
      </font>
    </dxf>
    <dxf>
      <font>
        <color theme="9" tint="-0.24994659260841701"/>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b/>
        <i val="0"/>
        <color rgb="FFC00000"/>
      </font>
      <fill>
        <patternFill>
          <bgColor rgb="FFFF9999"/>
        </patternFill>
      </fill>
    </dxf>
    <dxf>
      <font>
        <color rgb="FFC00000"/>
      </font>
      <fill>
        <patternFill>
          <bgColor rgb="FFFF9999"/>
        </patternFill>
      </fill>
    </dxf>
    <dxf>
      <font>
        <color rgb="FF006100"/>
      </font>
      <fill>
        <patternFill>
          <bgColor rgb="FFC6EFCE"/>
        </patternFill>
      </fill>
    </dxf>
    <dxf>
      <font>
        <b val="0"/>
        <i val="0"/>
        <color theme="4" tint="-0.24994659260841701"/>
      </font>
      <fill>
        <patternFill>
          <bgColor theme="4" tint="0.599963377788628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0"/>
      </font>
      <fill>
        <patternFill>
          <bgColor rgb="FFFF0000"/>
        </patternFill>
      </fill>
    </dxf>
    <dxf>
      <font>
        <color rgb="FF9C5700"/>
      </font>
      <fill>
        <patternFill>
          <bgColor rgb="FFFFEB9C"/>
        </patternFill>
      </fill>
    </dxf>
    <dxf>
      <font>
        <color rgb="FF006100"/>
      </font>
      <fill>
        <patternFill>
          <bgColor rgb="FFC6EFCE"/>
        </patternFill>
      </fill>
    </dxf>
    <dxf>
      <font>
        <color theme="0"/>
      </font>
      <fill>
        <patternFill>
          <bgColor rgb="FFFF0000"/>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b/>
        <i val="0"/>
        <color auto="1"/>
      </font>
      <fill>
        <patternFill>
          <bgColor rgb="FFFF000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strike val="0"/>
        <color auto="1"/>
      </font>
      <fill>
        <patternFill>
          <bgColor rgb="FFFF0000"/>
        </patternFill>
      </fill>
    </dxf>
    <dxf>
      <font>
        <color rgb="FF9C0006"/>
      </font>
      <fill>
        <patternFill>
          <bgColor rgb="FFFFC7CE"/>
        </patternFill>
      </fill>
    </dxf>
    <dxf>
      <font>
        <color theme="7" tint="-0.24994659260841701"/>
      </font>
    </dxf>
    <dxf>
      <font>
        <color rgb="FF0070C0"/>
      </font>
    </dxf>
    <dxf>
      <font>
        <color theme="5"/>
      </font>
    </dxf>
    <dxf>
      <font>
        <color rgb="FFFF0000"/>
      </font>
    </dxf>
    <dxf>
      <font>
        <color theme="9" tint="-0.24994659260841701"/>
      </font>
    </dxf>
    <dxf>
      <font>
        <color theme="7" tint="-0.24994659260841701"/>
      </font>
    </dxf>
    <dxf>
      <font>
        <color rgb="FF0070C0"/>
      </font>
    </dxf>
    <dxf>
      <font>
        <color theme="5"/>
      </font>
    </dxf>
    <dxf>
      <font>
        <color rgb="FFFF0000"/>
      </font>
    </dxf>
    <dxf>
      <font>
        <color theme="9" tint="-0.24994659260841701"/>
      </font>
    </dxf>
    <dxf>
      <font>
        <color theme="7" tint="-0.24994659260841701"/>
      </font>
    </dxf>
    <dxf>
      <font>
        <color rgb="FF0070C0"/>
      </font>
    </dxf>
    <dxf>
      <font>
        <color theme="5"/>
      </font>
    </dxf>
    <dxf>
      <font>
        <color rgb="FFFF0000"/>
      </font>
    </dxf>
    <dxf>
      <font>
        <color theme="9" tint="-0.24994659260841701"/>
      </font>
    </dxf>
    <dxf>
      <font>
        <color theme="7" tint="-0.24994659260841701"/>
      </font>
    </dxf>
    <dxf>
      <font>
        <color rgb="FF0070C0"/>
      </font>
    </dxf>
    <dxf>
      <font>
        <color theme="5"/>
      </font>
    </dxf>
    <dxf>
      <font>
        <color rgb="FFFF0000"/>
      </font>
    </dxf>
    <dxf>
      <font>
        <color theme="9" tint="-0.24994659260841701"/>
      </font>
    </dxf>
    <dxf>
      <font>
        <color theme="7" tint="-0.24994659260841701"/>
      </font>
    </dxf>
    <dxf>
      <font>
        <color rgb="FF0070C0"/>
      </font>
    </dxf>
    <dxf>
      <font>
        <color theme="5"/>
      </font>
    </dxf>
    <dxf>
      <font>
        <color rgb="FFFF0000"/>
      </font>
    </dxf>
    <dxf>
      <font>
        <color theme="9" tint="-0.24994659260841701"/>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rgb="FF0070C0"/>
      </font>
    </dxf>
    <dxf>
      <font>
        <color theme="7" tint="-0.24994659260841701"/>
      </font>
    </dxf>
    <dxf>
      <font>
        <color rgb="FF0070C0"/>
      </font>
    </dxf>
    <dxf>
      <font>
        <color theme="9" tint="-0.24994659260841701"/>
      </font>
    </dxf>
    <dxf>
      <font>
        <color theme="5"/>
      </font>
    </dxf>
    <dxf>
      <font>
        <color rgb="FFFF0000"/>
      </font>
    </dxf>
    <dxf>
      <font>
        <color theme="5"/>
      </font>
    </dxf>
    <dxf>
      <font>
        <color rgb="FFFF0000"/>
      </font>
    </dxf>
    <dxf>
      <font>
        <color theme="9" tint="-0.24994659260841701"/>
      </font>
    </dxf>
    <dxf>
      <font>
        <color rgb="FFFF0000"/>
      </font>
    </dxf>
    <dxf>
      <font>
        <color theme="7" tint="-0.24994659260841701"/>
      </font>
    </dxf>
    <dxf>
      <font>
        <color rgb="FF0070C0"/>
      </font>
    </dxf>
    <dxf>
      <font>
        <color theme="5"/>
      </font>
    </dxf>
    <dxf>
      <font>
        <color rgb="FFFF0000"/>
      </font>
    </dxf>
    <dxf>
      <font>
        <color theme="9" tint="-0.24994659260841701"/>
      </font>
    </dxf>
    <dxf>
      <font>
        <color theme="7" tint="-0.24994659260841701"/>
      </font>
    </dxf>
    <dxf>
      <font>
        <color rgb="FF0070C0"/>
      </font>
    </dxf>
    <dxf>
      <font>
        <color theme="5"/>
      </font>
    </dxf>
    <dxf>
      <font>
        <color rgb="FFFF0000"/>
      </font>
    </dxf>
    <dxf>
      <font>
        <color theme="9" tint="-0.24994659260841701"/>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
      <font>
        <color rgb="FF0070C0"/>
      </font>
    </dxf>
    <dxf>
      <font>
        <color theme="9" tint="-0.24994659260841701"/>
      </font>
    </dxf>
    <dxf>
      <font>
        <color theme="5"/>
      </font>
    </dxf>
    <dxf>
      <font>
        <color rgb="FFFF0000"/>
      </font>
    </dxf>
  </dxfs>
  <tableStyles count="0" defaultTableStyle="TableStyleMedium2" defaultPivotStyle="PivotStyleLight16"/>
  <colors>
    <mruColors>
      <color rgb="FFFF5050"/>
      <color rgb="FFFF6699"/>
      <color rgb="FFFF9999"/>
      <color rgb="FFF4EE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'Do Not Edit'!$AJ$19</c:f>
          <c:strCache>
            <c:ptCount val="1"/>
            <c:pt idx="0">
              <c:v>Pre-Morbid Estimates vs RBANS ±90% CI</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2408348621974098E-2"/>
          <c:y val="0.1373704104317324"/>
          <c:w val="0.6242758743785789"/>
          <c:h val="0.63395527382772643"/>
        </c:manualLayout>
      </c:layout>
      <c:areaChart>
        <c:grouping val="stacked"/>
        <c:varyColors val="0"/>
        <c:ser>
          <c:idx val="2"/>
          <c:order val="2"/>
          <c:tx>
            <c:v>Lower</c:v>
          </c:tx>
          <c:spPr>
            <a:noFill/>
            <a:ln>
              <a:noFill/>
              <a:prstDash val="dash"/>
            </a:ln>
            <a:effectLst/>
          </c:spPr>
          <c:val>
            <c:numRef>
              <c:f>'Do Not Edit'!$B$38:$G$38</c:f>
              <c:numCache>
                <c:formatCode>General</c:formatCode>
                <c:ptCount val="6"/>
                <c:pt idx="0">
                  <c:v>90.406700000000001</c:v>
                </c:pt>
                <c:pt idx="1">
                  <c:v>88.139765999999966</c:v>
                </c:pt>
                <c:pt idx="2">
                  <c:v>88.139765999999966</c:v>
                </c:pt>
                <c:pt idx="3">
                  <c:v>88.139765999999966</c:v>
                </c:pt>
                <c:pt idx="4">
                  <c:v>90.269200000000012</c:v>
                </c:pt>
                <c:pt idx="5">
                  <c:v>88.139765999999966</c:v>
                </c:pt>
              </c:numCache>
            </c:numRef>
          </c:val>
          <c:extLst>
            <c:ext xmlns:c16="http://schemas.microsoft.com/office/drawing/2014/chart" uri="{C3380CC4-5D6E-409C-BE32-E72D297353CC}">
              <c16:uniqueId val="{00000000-9801-4C5D-9DD0-7769068E5853}"/>
            </c:ext>
          </c:extLst>
        </c:ser>
        <c:ser>
          <c:idx val="4"/>
          <c:order val="4"/>
          <c:tx>
            <c:v>Expected Performance Range (z+/-1)</c:v>
          </c:tx>
          <c:spPr>
            <a:solidFill>
              <a:schemeClr val="accent6">
                <a:lumMod val="40000"/>
                <a:lumOff val="60000"/>
                <a:alpha val="46000"/>
              </a:schemeClr>
            </a:solidFill>
            <a:ln>
              <a:noFill/>
            </a:ln>
            <a:effectLst/>
          </c:spPr>
          <c:val>
            <c:numRef>
              <c:f>'Do Not Edit'!$B$41:$G$41</c:f>
              <c:numCache>
                <c:formatCode>General</c:formatCode>
                <c:ptCount val="6"/>
                <c:pt idx="0">
                  <c:v>30</c:v>
                </c:pt>
                <c:pt idx="1">
                  <c:v>30</c:v>
                </c:pt>
                <c:pt idx="2">
                  <c:v>30</c:v>
                </c:pt>
                <c:pt idx="3">
                  <c:v>30</c:v>
                </c:pt>
                <c:pt idx="4">
                  <c:v>30</c:v>
                </c:pt>
                <c:pt idx="5">
                  <c:v>30</c:v>
                </c:pt>
              </c:numCache>
            </c:numRef>
          </c:val>
          <c:extLst>
            <c:ext xmlns:c16="http://schemas.microsoft.com/office/drawing/2014/chart" uri="{C3380CC4-5D6E-409C-BE32-E72D297353CC}">
              <c16:uniqueId val="{00000001-9801-4C5D-9DD0-7769068E5853}"/>
            </c:ext>
          </c:extLst>
        </c:ser>
        <c:dLbls>
          <c:showLegendKey val="0"/>
          <c:showVal val="0"/>
          <c:showCatName val="0"/>
          <c:showSerName val="0"/>
          <c:showPercent val="0"/>
          <c:showBubbleSize val="0"/>
        </c:dLbls>
        <c:axId val="638275088"/>
        <c:axId val="471286720"/>
      </c:areaChart>
      <c:lineChart>
        <c:grouping val="standard"/>
        <c:varyColors val="0"/>
        <c:ser>
          <c:idx val="0"/>
          <c:order val="0"/>
          <c:tx>
            <c:v>RBANS</c:v>
          </c:tx>
          <c:spPr>
            <a:ln w="28575" cap="rnd">
              <a:solidFill>
                <a:srgbClr val="00B0F0"/>
              </a:solidFill>
              <a:round/>
            </a:ln>
            <a:effectLst/>
          </c:spPr>
          <c:marker>
            <c:symbol val="circle"/>
            <c:size val="5"/>
            <c:spPr>
              <a:solidFill>
                <a:schemeClr val="accent1"/>
              </a:solidFill>
              <a:ln w="19050">
                <a:solidFill>
                  <a:srgbClr val="00B0F0"/>
                </a:solidFill>
              </a:ln>
              <a:effectLst/>
            </c:spPr>
          </c:marker>
          <c:errBars>
            <c:errDir val="y"/>
            <c:errBarType val="both"/>
            <c:errValType val="cust"/>
            <c:noEndCap val="0"/>
            <c:plus>
              <c:numRef>
                <c:f>'Standard Tests'!$C$23:$C$28</c:f>
                <c:numCache>
                  <c:formatCode>General</c:formatCode>
                  <c:ptCount val="6"/>
                  <c:pt idx="0">
                    <c:v>10</c:v>
                  </c:pt>
                  <c:pt idx="1">
                    <c:v>10</c:v>
                  </c:pt>
                  <c:pt idx="2">
                    <c:v>10</c:v>
                  </c:pt>
                  <c:pt idx="3">
                    <c:v>10</c:v>
                  </c:pt>
                  <c:pt idx="4">
                    <c:v>10</c:v>
                  </c:pt>
                  <c:pt idx="5">
                    <c:v>7</c:v>
                  </c:pt>
                </c:numCache>
              </c:numRef>
            </c:plus>
            <c:minus>
              <c:numRef>
                <c:f>'Standard Tests'!$C$23:$C$28</c:f>
                <c:numCache>
                  <c:formatCode>General</c:formatCode>
                  <c:ptCount val="6"/>
                  <c:pt idx="0">
                    <c:v>10</c:v>
                  </c:pt>
                  <c:pt idx="1">
                    <c:v>10</c:v>
                  </c:pt>
                  <c:pt idx="2">
                    <c:v>10</c:v>
                  </c:pt>
                  <c:pt idx="3">
                    <c:v>10</c:v>
                  </c:pt>
                  <c:pt idx="4">
                    <c:v>10</c:v>
                  </c:pt>
                  <c:pt idx="5">
                    <c:v>7</c:v>
                  </c:pt>
                </c:numCache>
              </c:numRef>
            </c:minus>
            <c:spPr>
              <a:noFill/>
              <a:ln w="6350" cap="flat" cmpd="sng" algn="ctr">
                <a:solidFill>
                  <a:schemeClr val="bg1">
                    <a:lumMod val="65000"/>
                  </a:schemeClr>
                </a:solidFill>
                <a:round/>
              </a:ln>
              <a:effectLst/>
            </c:spPr>
          </c:errBars>
          <c:cat>
            <c:strRef>
              <c:f>'Standard Tests'!$A$23:$A$28</c:f>
              <c:strCache>
                <c:ptCount val="6"/>
                <c:pt idx="0">
                  <c:v>Immediate Memory</c:v>
                </c:pt>
                <c:pt idx="1">
                  <c:v>VS/Constructional</c:v>
                </c:pt>
                <c:pt idx="2">
                  <c:v>Language</c:v>
                </c:pt>
                <c:pt idx="3">
                  <c:v>Attention</c:v>
                </c:pt>
                <c:pt idx="4">
                  <c:v>Delayed Memory </c:v>
                </c:pt>
                <c:pt idx="5">
                  <c:v>Total Scale</c:v>
                </c:pt>
              </c:strCache>
            </c:strRef>
          </c:cat>
          <c:val>
            <c:numRef>
              <c:f>'Standard Tests'!$B$23:$B$28</c:f>
              <c:numCache>
                <c:formatCode>General</c:formatCode>
                <c:ptCount val="6"/>
                <c:pt idx="0">
                  <c:v>109</c:v>
                </c:pt>
                <c:pt idx="1">
                  <c:v>50</c:v>
                </c:pt>
                <c:pt idx="2">
                  <c:v>60</c:v>
                </c:pt>
                <c:pt idx="3">
                  <c:v>64</c:v>
                </c:pt>
                <c:pt idx="4">
                  <c:v>75</c:v>
                </c:pt>
                <c:pt idx="5">
                  <c:v>64</c:v>
                </c:pt>
              </c:numCache>
            </c:numRef>
          </c:val>
          <c:smooth val="0"/>
          <c:extLst>
            <c:ext xmlns:c16="http://schemas.microsoft.com/office/drawing/2014/chart" uri="{C3380CC4-5D6E-409C-BE32-E72D297353CC}">
              <c16:uniqueId val="{00000002-9801-4C5D-9DD0-7769068E5853}"/>
            </c:ext>
          </c:extLst>
        </c:ser>
        <c:ser>
          <c:idx val="1"/>
          <c:order val="1"/>
          <c:tx>
            <c:v>TOPF</c:v>
          </c:tx>
          <c:spPr>
            <a:ln w="28575" cap="rnd">
              <a:solidFill>
                <a:srgbClr val="00B050"/>
              </a:solidFill>
              <a:round/>
            </a:ln>
            <a:effectLst/>
          </c:spPr>
          <c:marker>
            <c:symbol val="circle"/>
            <c:size val="5"/>
            <c:spPr>
              <a:solidFill>
                <a:schemeClr val="accent2"/>
              </a:solidFill>
              <a:ln w="19050">
                <a:solidFill>
                  <a:srgbClr val="00B050"/>
                </a:solidFill>
              </a:ln>
              <a:effectLst/>
            </c:spPr>
          </c:marker>
          <c:val>
            <c:numRef>
              <c:f>'Do Not Edit'!$B$36:$G$36</c:f>
              <c:numCache>
                <c:formatCode>General</c:formatCode>
                <c:ptCount val="6"/>
                <c:pt idx="0">
                  <c:v>105.4067</c:v>
                </c:pt>
                <c:pt idx="1">
                  <c:v>103.13976599999997</c:v>
                </c:pt>
                <c:pt idx="2">
                  <c:v>103.13976599999997</c:v>
                </c:pt>
                <c:pt idx="3">
                  <c:v>103.13976599999997</c:v>
                </c:pt>
                <c:pt idx="4">
                  <c:v>105.26920000000001</c:v>
                </c:pt>
                <c:pt idx="5">
                  <c:v>103.13976599999997</c:v>
                </c:pt>
              </c:numCache>
            </c:numRef>
          </c:val>
          <c:smooth val="0"/>
          <c:extLst>
            <c:ext xmlns:c16="http://schemas.microsoft.com/office/drawing/2014/chart" uri="{C3380CC4-5D6E-409C-BE32-E72D297353CC}">
              <c16:uniqueId val="{00000003-9801-4C5D-9DD0-7769068E5853}"/>
            </c:ext>
          </c:extLst>
        </c:ser>
        <c:ser>
          <c:idx val="3"/>
          <c:order val="3"/>
          <c:tx>
            <c:v>Upper</c:v>
          </c:tx>
          <c:spPr>
            <a:ln w="28575" cap="rnd">
              <a:noFill/>
              <a:round/>
            </a:ln>
            <a:effectLst/>
          </c:spPr>
          <c:marker>
            <c:symbol val="none"/>
          </c:marker>
          <c:val>
            <c:numRef>
              <c:f>'Do Not Edit'!$B$37:$G$37</c:f>
              <c:numCache>
                <c:formatCode>General</c:formatCode>
                <c:ptCount val="6"/>
                <c:pt idx="0">
                  <c:v>120.4067</c:v>
                </c:pt>
                <c:pt idx="1">
                  <c:v>118.13976599999997</c:v>
                </c:pt>
                <c:pt idx="2">
                  <c:v>118.13976599999997</c:v>
                </c:pt>
                <c:pt idx="3">
                  <c:v>118.13976599999997</c:v>
                </c:pt>
                <c:pt idx="4">
                  <c:v>120.26920000000001</c:v>
                </c:pt>
                <c:pt idx="5">
                  <c:v>118.13976599999997</c:v>
                </c:pt>
              </c:numCache>
            </c:numRef>
          </c:val>
          <c:smooth val="0"/>
          <c:extLst>
            <c:ext xmlns:c16="http://schemas.microsoft.com/office/drawing/2014/chart" uri="{C3380CC4-5D6E-409C-BE32-E72D297353CC}">
              <c16:uniqueId val="{00000004-9801-4C5D-9DD0-7769068E5853}"/>
            </c:ext>
          </c:extLst>
        </c:ser>
        <c:ser>
          <c:idx val="5"/>
          <c:order val="5"/>
          <c:tx>
            <c:v>z=-1.5</c:v>
          </c:tx>
          <c:spPr>
            <a:ln w="19050" cap="rnd">
              <a:solidFill>
                <a:schemeClr val="accent2"/>
              </a:solidFill>
              <a:prstDash val="dash"/>
              <a:round/>
            </a:ln>
            <a:effectLst/>
          </c:spPr>
          <c:marker>
            <c:symbol val="none"/>
          </c:marker>
          <c:val>
            <c:numRef>
              <c:f>'Do Not Edit'!$B$39:$G$39</c:f>
              <c:numCache>
                <c:formatCode>General</c:formatCode>
                <c:ptCount val="6"/>
                <c:pt idx="0">
                  <c:v>82.906700000000001</c:v>
                </c:pt>
                <c:pt idx="1">
                  <c:v>80.639765999999966</c:v>
                </c:pt>
                <c:pt idx="2">
                  <c:v>80.639765999999966</c:v>
                </c:pt>
                <c:pt idx="3">
                  <c:v>80.639765999999966</c:v>
                </c:pt>
                <c:pt idx="4">
                  <c:v>82.769200000000012</c:v>
                </c:pt>
                <c:pt idx="5">
                  <c:v>80.639765999999966</c:v>
                </c:pt>
              </c:numCache>
            </c:numRef>
          </c:val>
          <c:smooth val="0"/>
          <c:extLst>
            <c:ext xmlns:c16="http://schemas.microsoft.com/office/drawing/2014/chart" uri="{C3380CC4-5D6E-409C-BE32-E72D297353CC}">
              <c16:uniqueId val="{00000005-9801-4C5D-9DD0-7769068E5853}"/>
            </c:ext>
          </c:extLst>
        </c:ser>
        <c:ser>
          <c:idx val="6"/>
          <c:order val="6"/>
          <c:tx>
            <c:v>z=-2</c:v>
          </c:tx>
          <c:spPr>
            <a:ln w="19050" cap="rnd">
              <a:solidFill>
                <a:srgbClr val="FF0000"/>
              </a:solidFill>
              <a:prstDash val="dash"/>
              <a:round/>
            </a:ln>
            <a:effectLst/>
          </c:spPr>
          <c:marker>
            <c:symbol val="none"/>
          </c:marker>
          <c:val>
            <c:numRef>
              <c:f>'Do Not Edit'!$B$40:$G$40</c:f>
              <c:numCache>
                <c:formatCode>General</c:formatCode>
                <c:ptCount val="6"/>
                <c:pt idx="0">
                  <c:v>75.406700000000001</c:v>
                </c:pt>
                <c:pt idx="1">
                  <c:v>73.139765999999966</c:v>
                </c:pt>
                <c:pt idx="2">
                  <c:v>73.139765999999966</c:v>
                </c:pt>
                <c:pt idx="3">
                  <c:v>73.139765999999966</c:v>
                </c:pt>
                <c:pt idx="4">
                  <c:v>75.269200000000012</c:v>
                </c:pt>
                <c:pt idx="5">
                  <c:v>73.139765999999966</c:v>
                </c:pt>
              </c:numCache>
            </c:numRef>
          </c:val>
          <c:smooth val="0"/>
          <c:extLst>
            <c:ext xmlns:c16="http://schemas.microsoft.com/office/drawing/2014/chart" uri="{C3380CC4-5D6E-409C-BE32-E72D297353CC}">
              <c16:uniqueId val="{00000006-9801-4C5D-9DD0-7769068E5853}"/>
            </c:ext>
          </c:extLst>
        </c:ser>
        <c:dLbls>
          <c:showLegendKey val="0"/>
          <c:showVal val="0"/>
          <c:showCatName val="0"/>
          <c:showSerName val="0"/>
          <c:showPercent val="0"/>
          <c:showBubbleSize val="0"/>
        </c:dLbls>
        <c:marker val="1"/>
        <c:smooth val="0"/>
        <c:axId val="638275088"/>
        <c:axId val="471286720"/>
      </c:lineChart>
      <c:catAx>
        <c:axId val="63827508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Domain</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286720"/>
        <c:crosses val="autoZero"/>
        <c:auto val="1"/>
        <c:lblAlgn val="ctr"/>
        <c:lblOffset val="100"/>
        <c:noMultiLvlLbl val="0"/>
      </c:catAx>
      <c:valAx>
        <c:axId val="471286720"/>
        <c:scaling>
          <c:orientation val="minMax"/>
          <c:max val="150"/>
          <c:min val="4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Index Score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275088"/>
        <c:crosses val="autoZero"/>
        <c:crossBetween val="between"/>
        <c:majorUnit val="5"/>
      </c:valAx>
      <c:spPr>
        <a:noFill/>
        <a:ln>
          <a:noFill/>
        </a:ln>
        <a:effectLst/>
      </c:spPr>
    </c:plotArea>
    <c:legend>
      <c:legendPos val="r"/>
      <c:legendEntry>
        <c:idx val="1"/>
        <c:delete val="1"/>
      </c:legendEntry>
      <c:legendEntry>
        <c:idx val="4"/>
        <c:delete val="1"/>
      </c:legendEntry>
      <c:layout>
        <c:manualLayout>
          <c:xMode val="edge"/>
          <c:yMode val="edge"/>
          <c:x val="0.76830701346278207"/>
          <c:y val="0.20753146170662334"/>
          <c:w val="0.22160467817776958"/>
          <c:h val="0.521077910501257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A-IADL-Q</a:t>
            </a:r>
            <a:r>
              <a:rPr lang="en-GB" baseline="0"/>
              <a:t> Weighted Average - </a:t>
            </a:r>
            <a:r>
              <a:rPr lang="en-GB" i="1" baseline="0"/>
              <a:t>Lower is better</a:t>
            </a:r>
            <a:endParaRPr lang="en-GB" i="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'A-IADL-Q'!$O$34</c:f>
              <c:strCache>
                <c:ptCount val="1"/>
                <c:pt idx="0">
                  <c:v>No problems</c:v>
                </c:pt>
              </c:strCache>
            </c:strRef>
          </c:tx>
          <c:spPr>
            <a:solidFill>
              <a:schemeClr val="accent6">
                <a:lumMod val="60000"/>
                <a:lumOff val="40000"/>
              </a:schemeClr>
            </a:solidFill>
            <a:ln>
              <a:noFill/>
            </a:ln>
            <a:effectLst/>
          </c:spPr>
          <c:val>
            <c:numRef>
              <c:f>'A-IADL-Q'!$T$34:$V$34</c:f>
              <c:numCache>
                <c:formatCode>General</c:formatCode>
                <c:ptCount val="3"/>
                <c:pt idx="0">
                  <c:v>25</c:v>
                </c:pt>
                <c:pt idx="1">
                  <c:v>25</c:v>
                </c:pt>
                <c:pt idx="2">
                  <c:v>25</c:v>
                </c:pt>
              </c:numCache>
            </c:numRef>
          </c:val>
          <c:extLst>
            <c:ext xmlns:c16="http://schemas.microsoft.com/office/drawing/2014/chart" uri="{C3380CC4-5D6E-409C-BE32-E72D297353CC}">
              <c16:uniqueId val="{00000000-0503-4406-BC4A-3AAF406F2669}"/>
            </c:ext>
          </c:extLst>
        </c:ser>
        <c:ser>
          <c:idx val="1"/>
          <c:order val="1"/>
          <c:tx>
            <c:strRef>
              <c:f>'A-IADL-Q'!$O$35</c:f>
              <c:strCache>
                <c:ptCount val="1"/>
                <c:pt idx="0">
                  <c:v>slightly more problems</c:v>
                </c:pt>
              </c:strCache>
            </c:strRef>
          </c:tx>
          <c:spPr>
            <a:solidFill>
              <a:schemeClr val="accent4">
                <a:lumMod val="60000"/>
                <a:lumOff val="40000"/>
              </a:schemeClr>
            </a:solidFill>
            <a:ln>
              <a:noFill/>
            </a:ln>
            <a:effectLst/>
          </c:spPr>
          <c:val>
            <c:numRef>
              <c:f>'A-IADL-Q'!$T$35:$V$35</c:f>
              <c:numCache>
                <c:formatCode>General</c:formatCode>
                <c:ptCount val="3"/>
                <c:pt idx="0">
                  <c:v>25</c:v>
                </c:pt>
                <c:pt idx="1">
                  <c:v>25</c:v>
                </c:pt>
                <c:pt idx="2">
                  <c:v>25</c:v>
                </c:pt>
              </c:numCache>
            </c:numRef>
          </c:val>
          <c:extLst>
            <c:ext xmlns:c16="http://schemas.microsoft.com/office/drawing/2014/chart" uri="{C3380CC4-5D6E-409C-BE32-E72D297353CC}">
              <c16:uniqueId val="{00000001-0503-4406-BC4A-3AAF406F2669}"/>
            </c:ext>
          </c:extLst>
        </c:ser>
        <c:ser>
          <c:idx val="2"/>
          <c:order val="2"/>
          <c:tx>
            <c:strRef>
              <c:f>'A-IADL-Q'!$O$36</c:f>
              <c:strCache>
                <c:ptCount val="1"/>
                <c:pt idx="0">
                  <c:v>more difficulties </c:v>
                </c:pt>
              </c:strCache>
            </c:strRef>
          </c:tx>
          <c:spPr>
            <a:solidFill>
              <a:schemeClr val="accent2">
                <a:lumMod val="60000"/>
                <a:lumOff val="40000"/>
              </a:schemeClr>
            </a:solidFill>
            <a:ln>
              <a:noFill/>
            </a:ln>
            <a:effectLst/>
          </c:spPr>
          <c:val>
            <c:numRef>
              <c:f>'A-IADL-Q'!$T$36:$V$36</c:f>
              <c:numCache>
                <c:formatCode>General</c:formatCode>
                <c:ptCount val="3"/>
                <c:pt idx="0">
                  <c:v>25</c:v>
                </c:pt>
                <c:pt idx="1">
                  <c:v>25</c:v>
                </c:pt>
                <c:pt idx="2">
                  <c:v>25</c:v>
                </c:pt>
              </c:numCache>
            </c:numRef>
          </c:val>
          <c:extLst>
            <c:ext xmlns:c16="http://schemas.microsoft.com/office/drawing/2014/chart" uri="{C3380CC4-5D6E-409C-BE32-E72D297353CC}">
              <c16:uniqueId val="{00000002-0503-4406-BC4A-3AAF406F2669}"/>
            </c:ext>
          </c:extLst>
        </c:ser>
        <c:ser>
          <c:idx val="3"/>
          <c:order val="3"/>
          <c:tx>
            <c:strRef>
              <c:f>'A-IADL-Q'!$O$37</c:f>
              <c:strCache>
                <c:ptCount val="1"/>
                <c:pt idx="0">
                  <c:v>much more difficulties</c:v>
                </c:pt>
              </c:strCache>
            </c:strRef>
          </c:tx>
          <c:spPr>
            <a:solidFill>
              <a:srgbClr val="FF5050"/>
            </a:solidFill>
            <a:ln>
              <a:noFill/>
            </a:ln>
            <a:effectLst/>
          </c:spPr>
          <c:val>
            <c:numRef>
              <c:f>'A-IADL-Q'!$T$37:$V$37</c:f>
              <c:numCache>
                <c:formatCode>General</c:formatCode>
                <c:ptCount val="3"/>
                <c:pt idx="0">
                  <c:v>25</c:v>
                </c:pt>
                <c:pt idx="1">
                  <c:v>25</c:v>
                </c:pt>
                <c:pt idx="2">
                  <c:v>25</c:v>
                </c:pt>
              </c:numCache>
            </c:numRef>
          </c:val>
          <c:extLst>
            <c:ext xmlns:c16="http://schemas.microsoft.com/office/drawing/2014/chart" uri="{C3380CC4-5D6E-409C-BE32-E72D297353CC}">
              <c16:uniqueId val="{00000003-0503-4406-BC4A-3AAF406F2669}"/>
            </c:ext>
          </c:extLst>
        </c:ser>
        <c:dLbls>
          <c:showLegendKey val="0"/>
          <c:showVal val="0"/>
          <c:showCatName val="0"/>
          <c:showSerName val="0"/>
          <c:showPercent val="0"/>
          <c:showBubbleSize val="0"/>
        </c:dLbls>
        <c:axId val="984046336"/>
        <c:axId val="984041344"/>
      </c:areaChart>
      <c:scatterChart>
        <c:scatterStyle val="lineMarker"/>
        <c:varyColors val="0"/>
        <c:ser>
          <c:idx val="4"/>
          <c:order val="4"/>
          <c:tx>
            <c:v>Weighted Average A-IADL-Q</c:v>
          </c:tx>
          <c:spPr>
            <a:ln w="25400" cap="rnd">
              <a:noFill/>
              <a:round/>
            </a:ln>
            <a:effectLst/>
          </c:spPr>
          <c:marker>
            <c:symbol val="circle"/>
            <c:size val="5"/>
            <c:spPr>
              <a:solidFill>
                <a:schemeClr val="tx1"/>
              </a:solidFill>
              <a:ln w="9525">
                <a:solidFill>
                  <a:schemeClr val="accent5"/>
                </a:solidFill>
                <a:prstDash val="sysDot"/>
              </a:ln>
              <a:effectLst/>
            </c:spPr>
          </c:marker>
          <c:yVal>
            <c:numRef>
              <c:f>'A-IADL-Q'!$L$36:$L$38</c:f>
              <c:numCache>
                <c:formatCode>General</c:formatCode>
                <c:ptCount val="3"/>
                <c:pt idx="1">
                  <c:v>38.461538461538467</c:v>
                </c:pt>
              </c:numCache>
            </c:numRef>
          </c:yVal>
          <c:smooth val="0"/>
          <c:extLst>
            <c:ext xmlns:c16="http://schemas.microsoft.com/office/drawing/2014/chart" uri="{C3380CC4-5D6E-409C-BE32-E72D297353CC}">
              <c16:uniqueId val="{00000004-0503-4406-BC4A-3AAF406F2669}"/>
            </c:ext>
          </c:extLst>
        </c:ser>
        <c:dLbls>
          <c:showLegendKey val="0"/>
          <c:showVal val="0"/>
          <c:showCatName val="0"/>
          <c:showSerName val="0"/>
          <c:showPercent val="0"/>
          <c:showBubbleSize val="0"/>
        </c:dLbls>
        <c:axId val="984046336"/>
        <c:axId val="984041344"/>
      </c:scatterChart>
      <c:catAx>
        <c:axId val="984046336"/>
        <c:scaling>
          <c:orientation val="minMax"/>
        </c:scaling>
        <c:delete val="1"/>
        <c:axPos val="b"/>
        <c:numFmt formatCode="General" sourceLinked="1"/>
        <c:majorTickMark val="none"/>
        <c:minorTickMark val="none"/>
        <c:tickLblPos val="nextTo"/>
        <c:crossAx val="984041344"/>
        <c:crosses val="autoZero"/>
        <c:auto val="1"/>
        <c:lblAlgn val="ctr"/>
        <c:lblOffset val="100"/>
        <c:noMultiLvlLbl val="0"/>
      </c:catAx>
      <c:valAx>
        <c:axId val="984041344"/>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046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A-IADL-Q</a:t>
            </a:r>
            <a:r>
              <a:rPr lang="en-GB" baseline="0"/>
              <a:t> T-Score</a:t>
            </a:r>
            <a:br>
              <a:rPr lang="en-GB" baseline="0"/>
            </a:br>
            <a:r>
              <a:rPr lang="en-GB" baseline="0"/>
              <a:t>(IRT Calculated) - </a:t>
            </a:r>
            <a:r>
              <a:rPr lang="en-GB" i="1" baseline="0"/>
              <a:t>Higher is better</a:t>
            </a:r>
            <a:endParaRPr lang="en-GB" i="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'A-IADL-Q'!$Q$4</c:f>
              <c:strCache>
                <c:ptCount val="1"/>
                <c:pt idx="0">
                  <c:v>Severe Problems</c:v>
                </c:pt>
              </c:strCache>
            </c:strRef>
          </c:tx>
          <c:spPr>
            <a:solidFill>
              <a:srgbClr val="FF5050"/>
            </a:solidFill>
            <a:ln w="25400">
              <a:noFill/>
            </a:ln>
            <a:effectLst/>
          </c:spPr>
          <c:cat>
            <c:strRef>
              <c:f>'A-IADL-Q'!$Q$4</c:f>
              <c:strCache>
                <c:ptCount val="1"/>
                <c:pt idx="0">
                  <c:v>Severe Problems</c:v>
                </c:pt>
              </c:strCache>
            </c:strRef>
          </c:cat>
          <c:val>
            <c:numRef>
              <c:f>'A-IADL-Q'!$T$4:$V$4</c:f>
              <c:numCache>
                <c:formatCode>General</c:formatCode>
                <c:ptCount val="3"/>
                <c:pt idx="0">
                  <c:v>40</c:v>
                </c:pt>
                <c:pt idx="1">
                  <c:v>40</c:v>
                </c:pt>
                <c:pt idx="2">
                  <c:v>40</c:v>
                </c:pt>
              </c:numCache>
            </c:numRef>
          </c:val>
          <c:extLst>
            <c:ext xmlns:c16="http://schemas.microsoft.com/office/drawing/2014/chart" uri="{C3380CC4-5D6E-409C-BE32-E72D297353CC}">
              <c16:uniqueId val="{00000000-2825-4ABE-8D9E-E37588A49F8A}"/>
            </c:ext>
          </c:extLst>
        </c:ser>
        <c:ser>
          <c:idx val="1"/>
          <c:order val="1"/>
          <c:tx>
            <c:strRef>
              <c:f>'A-IADL-Q'!$Q$5</c:f>
              <c:strCache>
                <c:ptCount val="1"/>
                <c:pt idx="0">
                  <c:v>Moderate Problems</c:v>
                </c:pt>
              </c:strCache>
            </c:strRef>
          </c:tx>
          <c:spPr>
            <a:solidFill>
              <a:schemeClr val="accent2">
                <a:lumMod val="60000"/>
                <a:lumOff val="40000"/>
              </a:schemeClr>
            </a:solidFill>
            <a:ln w="25400">
              <a:noFill/>
            </a:ln>
            <a:effectLst/>
          </c:spPr>
          <c:val>
            <c:numRef>
              <c:f>'A-IADL-Q'!$T$5:$V$5</c:f>
              <c:numCache>
                <c:formatCode>General</c:formatCode>
                <c:ptCount val="3"/>
                <c:pt idx="0">
                  <c:v>10</c:v>
                </c:pt>
                <c:pt idx="1">
                  <c:v>10</c:v>
                </c:pt>
                <c:pt idx="2">
                  <c:v>10</c:v>
                </c:pt>
              </c:numCache>
            </c:numRef>
          </c:val>
          <c:extLst>
            <c:ext xmlns:c16="http://schemas.microsoft.com/office/drawing/2014/chart" uri="{C3380CC4-5D6E-409C-BE32-E72D297353CC}">
              <c16:uniqueId val="{00000001-2825-4ABE-8D9E-E37588A49F8A}"/>
            </c:ext>
          </c:extLst>
        </c:ser>
        <c:ser>
          <c:idx val="2"/>
          <c:order val="2"/>
          <c:tx>
            <c:strRef>
              <c:f>'A-IADL-Q'!$Q$6</c:f>
              <c:strCache>
                <c:ptCount val="1"/>
                <c:pt idx="0">
                  <c:v>Mild Problems</c:v>
                </c:pt>
              </c:strCache>
            </c:strRef>
          </c:tx>
          <c:spPr>
            <a:solidFill>
              <a:schemeClr val="accent4">
                <a:lumMod val="40000"/>
                <a:lumOff val="60000"/>
              </a:schemeClr>
            </a:solidFill>
            <a:ln w="25400">
              <a:noFill/>
            </a:ln>
            <a:effectLst/>
          </c:spPr>
          <c:val>
            <c:numRef>
              <c:f>'A-IADL-Q'!$T$6:$V$6</c:f>
              <c:numCache>
                <c:formatCode>General</c:formatCode>
                <c:ptCount val="3"/>
                <c:pt idx="0">
                  <c:v>10</c:v>
                </c:pt>
                <c:pt idx="1">
                  <c:v>10</c:v>
                </c:pt>
                <c:pt idx="2">
                  <c:v>10</c:v>
                </c:pt>
              </c:numCache>
            </c:numRef>
          </c:val>
          <c:extLst>
            <c:ext xmlns:c16="http://schemas.microsoft.com/office/drawing/2014/chart" uri="{C3380CC4-5D6E-409C-BE32-E72D297353CC}">
              <c16:uniqueId val="{00000002-2825-4ABE-8D9E-E37588A49F8A}"/>
            </c:ext>
          </c:extLst>
        </c:ser>
        <c:ser>
          <c:idx val="3"/>
          <c:order val="3"/>
          <c:tx>
            <c:strRef>
              <c:f>'A-IADL-Q'!$Q$7</c:f>
              <c:strCache>
                <c:ptCount val="1"/>
                <c:pt idx="0">
                  <c:v>Normal</c:v>
                </c:pt>
              </c:strCache>
            </c:strRef>
          </c:tx>
          <c:spPr>
            <a:solidFill>
              <a:schemeClr val="accent6">
                <a:lumMod val="40000"/>
                <a:lumOff val="60000"/>
              </a:schemeClr>
            </a:solidFill>
            <a:ln w="25400">
              <a:noFill/>
            </a:ln>
            <a:effectLst/>
          </c:spPr>
          <c:val>
            <c:numRef>
              <c:f>'A-IADL-Q'!$T$7:$V$7</c:f>
              <c:numCache>
                <c:formatCode>General</c:formatCode>
                <c:ptCount val="3"/>
                <c:pt idx="0">
                  <c:v>20</c:v>
                </c:pt>
                <c:pt idx="1">
                  <c:v>20</c:v>
                </c:pt>
                <c:pt idx="2">
                  <c:v>20</c:v>
                </c:pt>
              </c:numCache>
            </c:numRef>
          </c:val>
          <c:extLst>
            <c:ext xmlns:c16="http://schemas.microsoft.com/office/drawing/2014/chart" uri="{C3380CC4-5D6E-409C-BE32-E72D297353CC}">
              <c16:uniqueId val="{00000003-2825-4ABE-8D9E-E37588A49F8A}"/>
            </c:ext>
          </c:extLst>
        </c:ser>
        <c:dLbls>
          <c:showLegendKey val="0"/>
          <c:showVal val="0"/>
          <c:showCatName val="0"/>
          <c:showSerName val="0"/>
          <c:showPercent val="0"/>
          <c:showBubbleSize val="0"/>
        </c:dLbls>
        <c:axId val="1759314704"/>
        <c:axId val="1759308464"/>
      </c:areaChart>
      <c:lineChart>
        <c:grouping val="standard"/>
        <c:varyColors val="0"/>
        <c:ser>
          <c:idx val="4"/>
          <c:order val="4"/>
          <c:tx>
            <c:strRef>
              <c:f>'A-IADL-Q'!$Q$8</c:f>
              <c:strCache>
                <c:ptCount val="1"/>
                <c:pt idx="0">
                  <c:v>Clinical Cut-Off</c:v>
                </c:pt>
              </c:strCache>
            </c:strRef>
          </c:tx>
          <c:spPr>
            <a:ln w="19050" cap="rnd">
              <a:solidFill>
                <a:srgbClr val="FF0000"/>
              </a:solidFill>
              <a:prstDash val="dash"/>
              <a:round/>
            </a:ln>
            <a:effectLst/>
          </c:spPr>
          <c:marker>
            <c:symbol val="none"/>
          </c:marker>
          <c:val>
            <c:numRef>
              <c:f>'A-IADL-Q'!$T$8:$V$8</c:f>
              <c:numCache>
                <c:formatCode>General</c:formatCode>
                <c:ptCount val="3"/>
                <c:pt idx="0">
                  <c:v>51.4</c:v>
                </c:pt>
                <c:pt idx="1">
                  <c:v>51.4</c:v>
                </c:pt>
                <c:pt idx="2">
                  <c:v>51.4</c:v>
                </c:pt>
              </c:numCache>
            </c:numRef>
          </c:val>
          <c:smooth val="0"/>
          <c:extLst>
            <c:ext xmlns:c16="http://schemas.microsoft.com/office/drawing/2014/chart" uri="{C3380CC4-5D6E-409C-BE32-E72D297353CC}">
              <c16:uniqueId val="{00000004-2825-4ABE-8D9E-E37588A49F8A}"/>
            </c:ext>
          </c:extLst>
        </c:ser>
        <c:dLbls>
          <c:showLegendKey val="0"/>
          <c:showVal val="0"/>
          <c:showCatName val="0"/>
          <c:showSerName val="0"/>
          <c:showPercent val="0"/>
          <c:showBubbleSize val="0"/>
        </c:dLbls>
        <c:marker val="1"/>
        <c:smooth val="0"/>
        <c:axId val="1759314704"/>
        <c:axId val="1759308464"/>
      </c:lineChart>
      <c:scatterChart>
        <c:scatterStyle val="lineMarker"/>
        <c:varyColors val="0"/>
        <c:ser>
          <c:idx val="5"/>
          <c:order val="5"/>
          <c:tx>
            <c:v>T Score (IRT)</c:v>
          </c:tx>
          <c:spPr>
            <a:ln w="25400" cap="rnd">
              <a:noFill/>
              <a:round/>
            </a:ln>
            <a:effectLst/>
          </c:spPr>
          <c:marker>
            <c:symbol val="circle"/>
            <c:size val="5"/>
            <c:spPr>
              <a:solidFill>
                <a:schemeClr val="tx1"/>
              </a:solidFill>
              <a:ln w="9525">
                <a:solidFill>
                  <a:schemeClr val="accent6"/>
                </a:solidFill>
              </a:ln>
              <a:effectLst/>
            </c:spPr>
          </c:marker>
          <c:yVal>
            <c:numRef>
              <c:f>'A-IADL-Q'!$F$4:$H$4</c:f>
              <c:numCache>
                <c:formatCode>General</c:formatCode>
                <c:ptCount val="3"/>
                <c:pt idx="1">
                  <c:v>45.63</c:v>
                </c:pt>
              </c:numCache>
            </c:numRef>
          </c:yVal>
          <c:smooth val="0"/>
          <c:extLst>
            <c:ext xmlns:c16="http://schemas.microsoft.com/office/drawing/2014/chart" uri="{C3380CC4-5D6E-409C-BE32-E72D297353CC}">
              <c16:uniqueId val="{00000005-2825-4ABE-8D9E-E37588A49F8A}"/>
            </c:ext>
          </c:extLst>
        </c:ser>
        <c:dLbls>
          <c:showLegendKey val="0"/>
          <c:showVal val="0"/>
          <c:showCatName val="0"/>
          <c:showSerName val="0"/>
          <c:showPercent val="0"/>
          <c:showBubbleSize val="0"/>
        </c:dLbls>
        <c:axId val="1759314704"/>
        <c:axId val="1759308464"/>
      </c:scatterChart>
      <c:catAx>
        <c:axId val="1759314704"/>
        <c:scaling>
          <c:orientation val="minMax"/>
        </c:scaling>
        <c:delete val="1"/>
        <c:axPos val="b"/>
        <c:numFmt formatCode="General" sourceLinked="1"/>
        <c:majorTickMark val="out"/>
        <c:minorTickMark val="none"/>
        <c:tickLblPos val="nextTo"/>
        <c:crossAx val="1759308464"/>
        <c:crosses val="autoZero"/>
        <c:auto val="1"/>
        <c:lblAlgn val="ctr"/>
        <c:lblOffset val="100"/>
        <c:noMultiLvlLbl val="0"/>
      </c:catAx>
      <c:valAx>
        <c:axId val="1759308464"/>
        <c:scaling>
          <c:orientation val="minMax"/>
          <c:max val="80"/>
          <c:min val="2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3147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'Do Not Edit'!$AJ$19</c:f>
          <c:strCache>
            <c:ptCount val="1"/>
            <c:pt idx="0">
              <c:v>Pre-Morbid Estimates vs RBANS ±90% CI</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2"/>
          <c:order val="2"/>
          <c:tx>
            <c:v>Lower</c:v>
          </c:tx>
          <c:spPr>
            <a:noFill/>
            <a:ln>
              <a:noFill/>
              <a:prstDash val="dash"/>
            </a:ln>
            <a:effectLst/>
          </c:spPr>
          <c:val>
            <c:numRef>
              <c:f>'Do Not Edit'!$B$38:$G$38</c:f>
              <c:numCache>
                <c:formatCode>General</c:formatCode>
                <c:ptCount val="6"/>
                <c:pt idx="0">
                  <c:v>90.406700000000001</c:v>
                </c:pt>
                <c:pt idx="1">
                  <c:v>88.139765999999966</c:v>
                </c:pt>
                <c:pt idx="2">
                  <c:v>88.139765999999966</c:v>
                </c:pt>
                <c:pt idx="3">
                  <c:v>88.139765999999966</c:v>
                </c:pt>
                <c:pt idx="4">
                  <c:v>90.269200000000012</c:v>
                </c:pt>
                <c:pt idx="5">
                  <c:v>88.139765999999966</c:v>
                </c:pt>
              </c:numCache>
            </c:numRef>
          </c:val>
          <c:extLst>
            <c:ext xmlns:c16="http://schemas.microsoft.com/office/drawing/2014/chart" uri="{C3380CC4-5D6E-409C-BE32-E72D297353CC}">
              <c16:uniqueId val="{00000004-658B-40DE-A258-864153FA107A}"/>
            </c:ext>
          </c:extLst>
        </c:ser>
        <c:ser>
          <c:idx val="4"/>
          <c:order val="4"/>
          <c:tx>
            <c:v>Expected Performance Range (z+/-1)</c:v>
          </c:tx>
          <c:spPr>
            <a:solidFill>
              <a:schemeClr val="accent6">
                <a:lumMod val="40000"/>
                <a:lumOff val="60000"/>
                <a:alpha val="46000"/>
              </a:schemeClr>
            </a:solidFill>
            <a:ln>
              <a:noFill/>
            </a:ln>
            <a:effectLst/>
          </c:spPr>
          <c:val>
            <c:numRef>
              <c:f>'Do Not Edit'!$B$41:$G$41</c:f>
              <c:numCache>
                <c:formatCode>General</c:formatCode>
                <c:ptCount val="6"/>
                <c:pt idx="0">
                  <c:v>30</c:v>
                </c:pt>
                <c:pt idx="1">
                  <c:v>30</c:v>
                </c:pt>
                <c:pt idx="2">
                  <c:v>30</c:v>
                </c:pt>
                <c:pt idx="3">
                  <c:v>30</c:v>
                </c:pt>
                <c:pt idx="4">
                  <c:v>30</c:v>
                </c:pt>
                <c:pt idx="5">
                  <c:v>30</c:v>
                </c:pt>
              </c:numCache>
            </c:numRef>
          </c:val>
          <c:extLst>
            <c:ext xmlns:c16="http://schemas.microsoft.com/office/drawing/2014/chart" uri="{C3380CC4-5D6E-409C-BE32-E72D297353CC}">
              <c16:uniqueId val="{00000006-658B-40DE-A258-864153FA107A}"/>
            </c:ext>
          </c:extLst>
        </c:ser>
        <c:dLbls>
          <c:showLegendKey val="0"/>
          <c:showVal val="0"/>
          <c:showCatName val="0"/>
          <c:showSerName val="0"/>
          <c:showPercent val="0"/>
          <c:showBubbleSize val="0"/>
        </c:dLbls>
        <c:axId val="638275088"/>
        <c:axId val="471286720"/>
      </c:areaChart>
      <c:lineChart>
        <c:grouping val="standard"/>
        <c:varyColors val="0"/>
        <c:ser>
          <c:idx val="0"/>
          <c:order val="0"/>
          <c:tx>
            <c:v>RBANS</c:v>
          </c:tx>
          <c:spPr>
            <a:ln w="28575" cap="rnd">
              <a:solidFill>
                <a:srgbClr val="00B0F0"/>
              </a:solidFill>
              <a:round/>
            </a:ln>
            <a:effectLst/>
          </c:spPr>
          <c:marker>
            <c:symbol val="circle"/>
            <c:size val="5"/>
            <c:spPr>
              <a:solidFill>
                <a:schemeClr val="accent1"/>
              </a:solidFill>
              <a:ln w="19050">
                <a:solidFill>
                  <a:srgbClr val="00B0F0"/>
                </a:solidFill>
              </a:ln>
              <a:effectLst/>
            </c:spPr>
          </c:marker>
          <c:errBars>
            <c:errDir val="y"/>
            <c:errBarType val="both"/>
            <c:errValType val="cust"/>
            <c:noEndCap val="0"/>
            <c:plus>
              <c:numRef>
                <c:f>'Standard Tests'!$C$23:$C$28</c:f>
                <c:numCache>
                  <c:formatCode>General</c:formatCode>
                  <c:ptCount val="6"/>
                  <c:pt idx="0">
                    <c:v>10</c:v>
                  </c:pt>
                  <c:pt idx="1">
                    <c:v>10</c:v>
                  </c:pt>
                  <c:pt idx="2">
                    <c:v>10</c:v>
                  </c:pt>
                  <c:pt idx="3">
                    <c:v>10</c:v>
                  </c:pt>
                  <c:pt idx="4">
                    <c:v>10</c:v>
                  </c:pt>
                  <c:pt idx="5">
                    <c:v>7</c:v>
                  </c:pt>
                </c:numCache>
              </c:numRef>
            </c:plus>
            <c:minus>
              <c:numRef>
                <c:f>'Standard Tests'!$C$23:$C$28</c:f>
                <c:numCache>
                  <c:formatCode>General</c:formatCode>
                  <c:ptCount val="6"/>
                  <c:pt idx="0">
                    <c:v>10</c:v>
                  </c:pt>
                  <c:pt idx="1">
                    <c:v>10</c:v>
                  </c:pt>
                  <c:pt idx="2">
                    <c:v>10</c:v>
                  </c:pt>
                  <c:pt idx="3">
                    <c:v>10</c:v>
                  </c:pt>
                  <c:pt idx="4">
                    <c:v>10</c:v>
                  </c:pt>
                  <c:pt idx="5">
                    <c:v>7</c:v>
                  </c:pt>
                </c:numCache>
              </c:numRef>
            </c:minus>
            <c:spPr>
              <a:noFill/>
              <a:ln w="6350" cap="flat" cmpd="sng" algn="ctr">
                <a:solidFill>
                  <a:schemeClr val="bg1">
                    <a:lumMod val="65000"/>
                  </a:schemeClr>
                </a:solidFill>
                <a:round/>
              </a:ln>
              <a:effectLst/>
            </c:spPr>
          </c:errBars>
          <c:cat>
            <c:strRef>
              <c:f>'Standard Tests'!$A$23:$A$28</c:f>
              <c:strCache>
                <c:ptCount val="6"/>
                <c:pt idx="0">
                  <c:v>Immediate Memory</c:v>
                </c:pt>
                <c:pt idx="1">
                  <c:v>VS/Constructional</c:v>
                </c:pt>
                <c:pt idx="2">
                  <c:v>Language</c:v>
                </c:pt>
                <c:pt idx="3">
                  <c:v>Attention</c:v>
                </c:pt>
                <c:pt idx="4">
                  <c:v>Delayed Memory </c:v>
                </c:pt>
                <c:pt idx="5">
                  <c:v>Total Scale</c:v>
                </c:pt>
              </c:strCache>
            </c:strRef>
          </c:cat>
          <c:val>
            <c:numRef>
              <c:f>'Standard Tests'!$B$23:$B$28</c:f>
              <c:numCache>
                <c:formatCode>General</c:formatCode>
                <c:ptCount val="6"/>
                <c:pt idx="0">
                  <c:v>109</c:v>
                </c:pt>
                <c:pt idx="1">
                  <c:v>50</c:v>
                </c:pt>
                <c:pt idx="2">
                  <c:v>60</c:v>
                </c:pt>
                <c:pt idx="3">
                  <c:v>64</c:v>
                </c:pt>
                <c:pt idx="4">
                  <c:v>75</c:v>
                </c:pt>
                <c:pt idx="5">
                  <c:v>64</c:v>
                </c:pt>
              </c:numCache>
            </c:numRef>
          </c:val>
          <c:smooth val="0"/>
          <c:extLst>
            <c:ext xmlns:c16="http://schemas.microsoft.com/office/drawing/2014/chart" uri="{C3380CC4-5D6E-409C-BE32-E72D297353CC}">
              <c16:uniqueId val="{00000000-658B-40DE-A258-864153FA107A}"/>
            </c:ext>
          </c:extLst>
        </c:ser>
        <c:ser>
          <c:idx val="1"/>
          <c:order val="1"/>
          <c:tx>
            <c:v>TOPF</c:v>
          </c:tx>
          <c:spPr>
            <a:ln w="28575" cap="rnd">
              <a:solidFill>
                <a:srgbClr val="00B050"/>
              </a:solidFill>
              <a:round/>
            </a:ln>
            <a:effectLst/>
          </c:spPr>
          <c:marker>
            <c:symbol val="circle"/>
            <c:size val="5"/>
            <c:spPr>
              <a:solidFill>
                <a:schemeClr val="accent2"/>
              </a:solidFill>
              <a:ln w="19050">
                <a:solidFill>
                  <a:srgbClr val="00B050"/>
                </a:solidFill>
              </a:ln>
              <a:effectLst/>
            </c:spPr>
          </c:marker>
          <c:val>
            <c:numRef>
              <c:f>'Do Not Edit'!$B$36:$G$36</c:f>
              <c:numCache>
                <c:formatCode>General</c:formatCode>
                <c:ptCount val="6"/>
                <c:pt idx="0">
                  <c:v>105.4067</c:v>
                </c:pt>
                <c:pt idx="1">
                  <c:v>103.13976599999997</c:v>
                </c:pt>
                <c:pt idx="2">
                  <c:v>103.13976599999997</c:v>
                </c:pt>
                <c:pt idx="3">
                  <c:v>103.13976599999997</c:v>
                </c:pt>
                <c:pt idx="4">
                  <c:v>105.26920000000001</c:v>
                </c:pt>
                <c:pt idx="5">
                  <c:v>103.13976599999997</c:v>
                </c:pt>
              </c:numCache>
            </c:numRef>
          </c:val>
          <c:smooth val="0"/>
          <c:extLst>
            <c:ext xmlns:c16="http://schemas.microsoft.com/office/drawing/2014/chart" uri="{C3380CC4-5D6E-409C-BE32-E72D297353CC}">
              <c16:uniqueId val="{00000003-658B-40DE-A258-864153FA107A}"/>
            </c:ext>
          </c:extLst>
        </c:ser>
        <c:ser>
          <c:idx val="3"/>
          <c:order val="3"/>
          <c:tx>
            <c:v>Upper</c:v>
          </c:tx>
          <c:spPr>
            <a:ln w="28575" cap="rnd">
              <a:noFill/>
              <a:round/>
            </a:ln>
            <a:effectLst/>
          </c:spPr>
          <c:marker>
            <c:symbol val="none"/>
          </c:marker>
          <c:val>
            <c:numRef>
              <c:f>'Do Not Edit'!$B$37:$G$37</c:f>
              <c:numCache>
                <c:formatCode>General</c:formatCode>
                <c:ptCount val="6"/>
                <c:pt idx="0">
                  <c:v>120.4067</c:v>
                </c:pt>
                <c:pt idx="1">
                  <c:v>118.13976599999997</c:v>
                </c:pt>
                <c:pt idx="2">
                  <c:v>118.13976599999997</c:v>
                </c:pt>
                <c:pt idx="3">
                  <c:v>118.13976599999997</c:v>
                </c:pt>
                <c:pt idx="4">
                  <c:v>120.26920000000001</c:v>
                </c:pt>
                <c:pt idx="5">
                  <c:v>118.13976599999997</c:v>
                </c:pt>
              </c:numCache>
            </c:numRef>
          </c:val>
          <c:smooth val="0"/>
          <c:extLst>
            <c:ext xmlns:c16="http://schemas.microsoft.com/office/drawing/2014/chart" uri="{C3380CC4-5D6E-409C-BE32-E72D297353CC}">
              <c16:uniqueId val="{00000005-658B-40DE-A258-864153FA107A}"/>
            </c:ext>
          </c:extLst>
        </c:ser>
        <c:ser>
          <c:idx val="5"/>
          <c:order val="5"/>
          <c:tx>
            <c:v>z=-1.5</c:v>
          </c:tx>
          <c:spPr>
            <a:ln w="19050" cap="rnd">
              <a:solidFill>
                <a:schemeClr val="accent2"/>
              </a:solidFill>
              <a:prstDash val="dash"/>
              <a:round/>
            </a:ln>
            <a:effectLst/>
          </c:spPr>
          <c:marker>
            <c:symbol val="none"/>
          </c:marker>
          <c:val>
            <c:numRef>
              <c:f>'Do Not Edit'!$B$39:$G$39</c:f>
              <c:numCache>
                <c:formatCode>General</c:formatCode>
                <c:ptCount val="6"/>
                <c:pt idx="0">
                  <c:v>82.906700000000001</c:v>
                </c:pt>
                <c:pt idx="1">
                  <c:v>80.639765999999966</c:v>
                </c:pt>
                <c:pt idx="2">
                  <c:v>80.639765999999966</c:v>
                </c:pt>
                <c:pt idx="3">
                  <c:v>80.639765999999966</c:v>
                </c:pt>
                <c:pt idx="4">
                  <c:v>82.769200000000012</c:v>
                </c:pt>
                <c:pt idx="5">
                  <c:v>80.639765999999966</c:v>
                </c:pt>
              </c:numCache>
            </c:numRef>
          </c:val>
          <c:smooth val="0"/>
          <c:extLst>
            <c:ext xmlns:c16="http://schemas.microsoft.com/office/drawing/2014/chart" uri="{C3380CC4-5D6E-409C-BE32-E72D297353CC}">
              <c16:uniqueId val="{00000007-658B-40DE-A258-864153FA107A}"/>
            </c:ext>
          </c:extLst>
        </c:ser>
        <c:ser>
          <c:idx val="6"/>
          <c:order val="6"/>
          <c:tx>
            <c:v>z=-2</c:v>
          </c:tx>
          <c:spPr>
            <a:ln w="19050" cap="rnd">
              <a:solidFill>
                <a:srgbClr val="FF0000"/>
              </a:solidFill>
              <a:prstDash val="dash"/>
              <a:round/>
            </a:ln>
            <a:effectLst/>
          </c:spPr>
          <c:marker>
            <c:symbol val="none"/>
          </c:marker>
          <c:val>
            <c:numRef>
              <c:f>'Do Not Edit'!$B$40:$G$40</c:f>
              <c:numCache>
                <c:formatCode>General</c:formatCode>
                <c:ptCount val="6"/>
                <c:pt idx="0">
                  <c:v>75.406700000000001</c:v>
                </c:pt>
                <c:pt idx="1">
                  <c:v>73.139765999999966</c:v>
                </c:pt>
                <c:pt idx="2">
                  <c:v>73.139765999999966</c:v>
                </c:pt>
                <c:pt idx="3">
                  <c:v>73.139765999999966</c:v>
                </c:pt>
                <c:pt idx="4">
                  <c:v>75.269200000000012</c:v>
                </c:pt>
                <c:pt idx="5">
                  <c:v>73.139765999999966</c:v>
                </c:pt>
              </c:numCache>
            </c:numRef>
          </c:val>
          <c:smooth val="0"/>
          <c:extLst>
            <c:ext xmlns:c16="http://schemas.microsoft.com/office/drawing/2014/chart" uri="{C3380CC4-5D6E-409C-BE32-E72D297353CC}">
              <c16:uniqueId val="{00000008-658B-40DE-A258-864153FA107A}"/>
            </c:ext>
          </c:extLst>
        </c:ser>
        <c:dLbls>
          <c:showLegendKey val="0"/>
          <c:showVal val="0"/>
          <c:showCatName val="0"/>
          <c:showSerName val="0"/>
          <c:showPercent val="0"/>
          <c:showBubbleSize val="0"/>
        </c:dLbls>
        <c:marker val="1"/>
        <c:smooth val="0"/>
        <c:axId val="638275088"/>
        <c:axId val="471286720"/>
      </c:lineChart>
      <c:catAx>
        <c:axId val="63827508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Domain</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286720"/>
        <c:crosses val="autoZero"/>
        <c:auto val="1"/>
        <c:lblAlgn val="ctr"/>
        <c:lblOffset val="100"/>
        <c:noMultiLvlLbl val="0"/>
      </c:catAx>
      <c:valAx>
        <c:axId val="471286720"/>
        <c:scaling>
          <c:orientation val="minMax"/>
          <c:max val="150"/>
          <c:min val="4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Index Score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275088"/>
        <c:crosses val="autoZero"/>
        <c:crossBetween val="between"/>
        <c:majorUnit val="5"/>
      </c:valAx>
      <c:spPr>
        <a:noFill/>
        <a:ln>
          <a:noFill/>
        </a:ln>
        <a:effectLst/>
      </c:spPr>
    </c:plotArea>
    <c:legend>
      <c:legendPos val="r"/>
      <c:legendEntry>
        <c:idx val="1"/>
        <c:delete val="1"/>
      </c:legendEntry>
      <c:legendEntry>
        <c:idx val="4"/>
        <c:delete val="1"/>
      </c:legendEntry>
      <c:layout>
        <c:manualLayout>
          <c:xMode val="edge"/>
          <c:yMode val="edge"/>
          <c:x val="0.73857834283863821"/>
          <c:y val="0.29646441253666822"/>
          <c:w val="0.251333386113614"/>
          <c:h val="0.356387550125391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SYD-BATT</a:t>
            </a:r>
            <a:r>
              <a:rPr lang="en-GB" b="1" baseline="0"/>
              <a:t> Performance vs Profiles</a:t>
            </a:r>
            <a:endParaRPr lang="en-GB"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3742840753549334E-2"/>
          <c:y val="8.4806631525238568E-2"/>
          <c:w val="0.91445540801203806"/>
          <c:h val="0.80984614132644184"/>
        </c:manualLayout>
      </c:layout>
      <c:lineChart>
        <c:grouping val="standard"/>
        <c:varyColors val="0"/>
        <c:ser>
          <c:idx val="0"/>
          <c:order val="0"/>
          <c:tx>
            <c:v>nfPPA</c:v>
          </c:tx>
          <c:spPr>
            <a:ln w="28575" cap="rnd">
              <a:solidFill>
                <a:schemeClr val="accent4">
                  <a:lumMod val="60000"/>
                  <a:lumOff val="40000"/>
                </a:schemeClr>
              </a:solidFill>
              <a:prstDash val="dash"/>
              <a:round/>
            </a:ln>
            <a:effectLst/>
          </c:spPr>
          <c:marker>
            <c:symbol val="none"/>
          </c:marker>
          <c:cat>
            <c:strRef>
              <c:f>'Do Not Edit'!$B$48:$E$48</c:f>
              <c:strCache>
                <c:ptCount val="4"/>
                <c:pt idx="0">
                  <c:v>Naming</c:v>
                </c:pt>
                <c:pt idx="1">
                  <c:v>Comprehension</c:v>
                </c:pt>
                <c:pt idx="2">
                  <c:v>Semantic Association</c:v>
                </c:pt>
                <c:pt idx="3">
                  <c:v>Repetition</c:v>
                </c:pt>
              </c:strCache>
            </c:strRef>
          </c:cat>
          <c:val>
            <c:numRef>
              <c:f>'Do Not Edit'!$B$49:$E$49</c:f>
              <c:numCache>
                <c:formatCode>General</c:formatCode>
                <c:ptCount val="4"/>
                <c:pt idx="0">
                  <c:v>23.5</c:v>
                </c:pt>
                <c:pt idx="1">
                  <c:v>28.3</c:v>
                </c:pt>
                <c:pt idx="2">
                  <c:v>26.7</c:v>
                </c:pt>
                <c:pt idx="3">
                  <c:v>23.9</c:v>
                </c:pt>
              </c:numCache>
            </c:numRef>
          </c:val>
          <c:smooth val="0"/>
          <c:extLst>
            <c:ext xmlns:c16="http://schemas.microsoft.com/office/drawing/2014/chart" uri="{C3380CC4-5D6E-409C-BE32-E72D297353CC}">
              <c16:uniqueId val="{00000000-3BAA-4F4B-9BF2-139054675505}"/>
            </c:ext>
          </c:extLst>
        </c:ser>
        <c:ser>
          <c:idx val="1"/>
          <c:order val="1"/>
          <c:tx>
            <c:v>svPPA</c:v>
          </c:tx>
          <c:spPr>
            <a:ln w="28575" cap="rnd">
              <a:solidFill>
                <a:schemeClr val="accent2"/>
              </a:solidFill>
              <a:prstDash val="dash"/>
              <a:round/>
            </a:ln>
            <a:effectLst/>
          </c:spPr>
          <c:marker>
            <c:symbol val="none"/>
          </c:marker>
          <c:cat>
            <c:strRef>
              <c:f>'Do Not Edit'!$B$48:$E$48</c:f>
              <c:strCache>
                <c:ptCount val="4"/>
                <c:pt idx="0">
                  <c:v>Naming</c:v>
                </c:pt>
                <c:pt idx="1">
                  <c:v>Comprehension</c:v>
                </c:pt>
                <c:pt idx="2">
                  <c:v>Semantic Association</c:v>
                </c:pt>
                <c:pt idx="3">
                  <c:v>Repetition</c:v>
                </c:pt>
              </c:strCache>
            </c:strRef>
          </c:cat>
          <c:val>
            <c:numRef>
              <c:f>'Do Not Edit'!$B$50:$E$50</c:f>
              <c:numCache>
                <c:formatCode>General</c:formatCode>
                <c:ptCount val="4"/>
                <c:pt idx="0">
                  <c:v>6.8</c:v>
                </c:pt>
                <c:pt idx="1">
                  <c:v>19</c:v>
                </c:pt>
                <c:pt idx="2">
                  <c:v>18.3</c:v>
                </c:pt>
                <c:pt idx="3">
                  <c:v>28.6</c:v>
                </c:pt>
              </c:numCache>
            </c:numRef>
          </c:val>
          <c:smooth val="0"/>
          <c:extLst>
            <c:ext xmlns:c16="http://schemas.microsoft.com/office/drawing/2014/chart" uri="{C3380CC4-5D6E-409C-BE32-E72D297353CC}">
              <c16:uniqueId val="{00000001-3BAA-4F4B-9BF2-139054675505}"/>
            </c:ext>
          </c:extLst>
        </c:ser>
        <c:ser>
          <c:idx val="2"/>
          <c:order val="2"/>
          <c:tx>
            <c:v>lvPPA</c:v>
          </c:tx>
          <c:spPr>
            <a:ln w="28575" cap="rnd">
              <a:solidFill>
                <a:srgbClr val="FF0000"/>
              </a:solidFill>
              <a:prstDash val="dash"/>
              <a:round/>
            </a:ln>
            <a:effectLst/>
          </c:spPr>
          <c:marker>
            <c:symbol val="none"/>
          </c:marker>
          <c:cat>
            <c:strRef>
              <c:f>'Do Not Edit'!$B$48:$E$48</c:f>
              <c:strCache>
                <c:ptCount val="4"/>
                <c:pt idx="0">
                  <c:v>Naming</c:v>
                </c:pt>
                <c:pt idx="1">
                  <c:v>Comprehension</c:v>
                </c:pt>
                <c:pt idx="2">
                  <c:v>Semantic Association</c:v>
                </c:pt>
                <c:pt idx="3">
                  <c:v>Repetition</c:v>
                </c:pt>
              </c:strCache>
            </c:strRef>
          </c:cat>
          <c:val>
            <c:numRef>
              <c:f>'Do Not Edit'!$B$51:$E$51</c:f>
              <c:numCache>
                <c:formatCode>General</c:formatCode>
                <c:ptCount val="4"/>
                <c:pt idx="0">
                  <c:v>12.4</c:v>
                </c:pt>
                <c:pt idx="1">
                  <c:v>25.4</c:v>
                </c:pt>
                <c:pt idx="2">
                  <c:v>25.5</c:v>
                </c:pt>
                <c:pt idx="3">
                  <c:v>25.4</c:v>
                </c:pt>
              </c:numCache>
            </c:numRef>
          </c:val>
          <c:smooth val="0"/>
          <c:extLst>
            <c:ext xmlns:c16="http://schemas.microsoft.com/office/drawing/2014/chart" uri="{C3380CC4-5D6E-409C-BE32-E72D297353CC}">
              <c16:uniqueId val="{00000002-3BAA-4F4B-9BF2-139054675505}"/>
            </c:ext>
          </c:extLst>
        </c:ser>
        <c:ser>
          <c:idx val="3"/>
          <c:order val="3"/>
          <c:tx>
            <c:v>Non Impaired</c:v>
          </c:tx>
          <c:spPr>
            <a:ln w="28575" cap="rnd">
              <a:solidFill>
                <a:srgbClr val="00B050"/>
              </a:solidFill>
              <a:prstDash val="dash"/>
              <a:round/>
            </a:ln>
            <a:effectLst/>
          </c:spPr>
          <c:marker>
            <c:symbol val="none"/>
          </c:marker>
          <c:cat>
            <c:strRef>
              <c:f>'Do Not Edit'!$B$48:$E$48</c:f>
              <c:strCache>
                <c:ptCount val="4"/>
                <c:pt idx="0">
                  <c:v>Naming</c:v>
                </c:pt>
                <c:pt idx="1">
                  <c:v>Comprehension</c:v>
                </c:pt>
                <c:pt idx="2">
                  <c:v>Semantic Association</c:v>
                </c:pt>
                <c:pt idx="3">
                  <c:v>Repetition</c:v>
                </c:pt>
              </c:strCache>
            </c:strRef>
          </c:cat>
          <c:val>
            <c:numRef>
              <c:f>'Do Not Edit'!$B$52:$E$52</c:f>
              <c:numCache>
                <c:formatCode>General</c:formatCode>
                <c:ptCount val="4"/>
                <c:pt idx="0">
                  <c:v>26.6</c:v>
                </c:pt>
                <c:pt idx="1">
                  <c:v>29.1</c:v>
                </c:pt>
                <c:pt idx="2">
                  <c:v>27.7</c:v>
                </c:pt>
                <c:pt idx="3">
                  <c:v>29.9</c:v>
                </c:pt>
              </c:numCache>
            </c:numRef>
          </c:val>
          <c:smooth val="0"/>
          <c:extLst>
            <c:ext xmlns:c16="http://schemas.microsoft.com/office/drawing/2014/chart" uri="{C3380CC4-5D6E-409C-BE32-E72D297353CC}">
              <c16:uniqueId val="{00000003-3BAA-4F4B-9BF2-139054675505}"/>
            </c:ext>
          </c:extLst>
        </c:ser>
        <c:ser>
          <c:idx val="4"/>
          <c:order val="4"/>
          <c:tx>
            <c:v>Test Results</c:v>
          </c:tx>
          <c:spPr>
            <a:ln w="28575" cap="rnd">
              <a:solidFill>
                <a:schemeClr val="accent5"/>
              </a:solidFill>
              <a:round/>
            </a:ln>
            <a:effectLst/>
          </c:spPr>
          <c:marker>
            <c:symbol val="none"/>
          </c:marker>
          <c:cat>
            <c:strRef>
              <c:f>'Do Not Edit'!$B$48:$E$48</c:f>
              <c:strCache>
                <c:ptCount val="4"/>
                <c:pt idx="0">
                  <c:v>Naming</c:v>
                </c:pt>
                <c:pt idx="1">
                  <c:v>Comprehension</c:v>
                </c:pt>
                <c:pt idx="2">
                  <c:v>Semantic Association</c:v>
                </c:pt>
                <c:pt idx="3">
                  <c:v>Repetition</c:v>
                </c:pt>
              </c:strCache>
            </c:strRef>
          </c:cat>
          <c:val>
            <c:numRef>
              <c:f>'Do Not Edit'!$B$53:$E$53</c:f>
              <c:numCache>
                <c:formatCode>General</c:formatCode>
                <c:ptCount val="4"/>
                <c:pt idx="0">
                  <c:v>30</c:v>
                </c:pt>
                <c:pt idx="1">
                  <c:v>30</c:v>
                </c:pt>
                <c:pt idx="2">
                  <c:v>30</c:v>
                </c:pt>
                <c:pt idx="3">
                  <c:v>30</c:v>
                </c:pt>
              </c:numCache>
            </c:numRef>
          </c:val>
          <c:smooth val="0"/>
          <c:extLst>
            <c:ext xmlns:c16="http://schemas.microsoft.com/office/drawing/2014/chart" uri="{C3380CC4-5D6E-409C-BE32-E72D297353CC}">
              <c16:uniqueId val="{00000004-3BAA-4F4B-9BF2-139054675505}"/>
            </c:ext>
          </c:extLst>
        </c:ser>
        <c:ser>
          <c:idx val="5"/>
          <c:order val="5"/>
          <c:tx>
            <c:v>AD</c:v>
          </c:tx>
          <c:spPr>
            <a:ln w="28575" cap="rnd">
              <a:solidFill>
                <a:srgbClr val="7030A0"/>
              </a:solidFill>
              <a:prstDash val="dash"/>
              <a:round/>
            </a:ln>
            <a:effectLst/>
          </c:spPr>
          <c:marker>
            <c:symbol val="none"/>
          </c:marker>
          <c:cat>
            <c:strRef>
              <c:f>'Do Not Edit'!$B$48:$E$48</c:f>
              <c:strCache>
                <c:ptCount val="4"/>
                <c:pt idx="0">
                  <c:v>Naming</c:v>
                </c:pt>
                <c:pt idx="1">
                  <c:v>Comprehension</c:v>
                </c:pt>
                <c:pt idx="2">
                  <c:v>Semantic Association</c:v>
                </c:pt>
                <c:pt idx="3">
                  <c:v>Repetition</c:v>
                </c:pt>
              </c:strCache>
            </c:strRef>
          </c:cat>
          <c:val>
            <c:numRef>
              <c:f>'Do Not Edit'!$B$54:$E$54</c:f>
              <c:numCache>
                <c:formatCode>General</c:formatCode>
                <c:ptCount val="4"/>
                <c:pt idx="0">
                  <c:v>21.3</c:v>
                </c:pt>
                <c:pt idx="1">
                  <c:v>25.2</c:v>
                </c:pt>
                <c:pt idx="2">
                  <c:v>24.2</c:v>
                </c:pt>
                <c:pt idx="3">
                  <c:v>30</c:v>
                </c:pt>
              </c:numCache>
            </c:numRef>
          </c:val>
          <c:smooth val="0"/>
          <c:extLst>
            <c:ext xmlns:c16="http://schemas.microsoft.com/office/drawing/2014/chart" uri="{C3380CC4-5D6E-409C-BE32-E72D297353CC}">
              <c16:uniqueId val="{00000001-5C7C-4CB9-8B7B-7C986CF7BCC3}"/>
            </c:ext>
          </c:extLst>
        </c:ser>
        <c:dLbls>
          <c:showLegendKey val="0"/>
          <c:showVal val="0"/>
          <c:showCatName val="0"/>
          <c:showSerName val="0"/>
          <c:showPercent val="0"/>
          <c:showBubbleSize val="0"/>
        </c:dLbls>
        <c:smooth val="0"/>
        <c:axId val="532113160"/>
        <c:axId val="532110864"/>
      </c:lineChart>
      <c:catAx>
        <c:axId val="532113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110864"/>
        <c:crosses val="autoZero"/>
        <c:auto val="1"/>
        <c:lblAlgn val="ctr"/>
        <c:lblOffset val="100"/>
        <c:noMultiLvlLbl val="0"/>
      </c:catAx>
      <c:valAx>
        <c:axId val="532110864"/>
        <c:scaling>
          <c:orientation val="minMax"/>
          <c:max val="3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1131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MLSE Performance vs Profiles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Patient</c:v>
          </c:tx>
          <c:spPr>
            <a:ln w="28575" cap="rnd">
              <a:solidFill>
                <a:schemeClr val="accent1">
                  <a:lumMod val="60000"/>
                  <a:lumOff val="40000"/>
                </a:schemeClr>
              </a:solidFill>
              <a:round/>
            </a:ln>
            <a:effectLst/>
          </c:spPr>
          <c:marker>
            <c:symbol val="none"/>
          </c:marker>
          <c:cat>
            <c:strRef>
              <c:f>'[1]RBANS-'!$A$102:$A$106</c:f>
              <c:strCache>
                <c:ptCount val="5"/>
                <c:pt idx="0">
                  <c:v>Motor</c:v>
                </c:pt>
                <c:pt idx="1">
                  <c:v>Phonology</c:v>
                </c:pt>
                <c:pt idx="2">
                  <c:v>Semantics</c:v>
                </c:pt>
                <c:pt idx="3">
                  <c:v>Syntax</c:v>
                </c:pt>
                <c:pt idx="4">
                  <c:v>Working Memory</c:v>
                </c:pt>
              </c:strCache>
            </c:strRef>
          </c:cat>
          <c:val>
            <c:numRef>
              <c:f>'Extended Battery'!$E$52:$E$56</c:f>
              <c:numCache>
                <c:formatCode>0%</c:formatCode>
                <c:ptCount val="5"/>
                <c:pt idx="0">
                  <c:v>1</c:v>
                </c:pt>
                <c:pt idx="1">
                  <c:v>1</c:v>
                </c:pt>
                <c:pt idx="2">
                  <c:v>1</c:v>
                </c:pt>
                <c:pt idx="3">
                  <c:v>1</c:v>
                </c:pt>
                <c:pt idx="4">
                  <c:v>1</c:v>
                </c:pt>
              </c:numCache>
            </c:numRef>
          </c:val>
          <c:smooth val="0"/>
          <c:extLst>
            <c:ext xmlns:c16="http://schemas.microsoft.com/office/drawing/2014/chart" uri="{C3380CC4-5D6E-409C-BE32-E72D297353CC}">
              <c16:uniqueId val="{00000000-A74D-492E-B7BE-0728B5ABDFE9}"/>
            </c:ext>
          </c:extLst>
        </c:ser>
        <c:ser>
          <c:idx val="1"/>
          <c:order val="1"/>
          <c:tx>
            <c:v>lvPPA</c:v>
          </c:tx>
          <c:spPr>
            <a:ln w="28575" cap="rnd">
              <a:solidFill>
                <a:srgbClr val="FF0000"/>
              </a:solidFill>
              <a:prstDash val="sysDot"/>
              <a:round/>
            </a:ln>
            <a:effectLst/>
          </c:spPr>
          <c:marker>
            <c:symbol val="none"/>
          </c:marker>
          <c:val>
            <c:numRef>
              <c:f>'Do Not Edit'!$D$59:$D$63</c:f>
              <c:numCache>
                <c:formatCode>0%</c:formatCode>
                <c:ptCount val="5"/>
                <c:pt idx="0">
                  <c:v>1</c:v>
                </c:pt>
                <c:pt idx="1">
                  <c:v>0.83333333333333337</c:v>
                </c:pt>
                <c:pt idx="2">
                  <c:v>0.85</c:v>
                </c:pt>
                <c:pt idx="3">
                  <c:v>0.5</c:v>
                </c:pt>
                <c:pt idx="4">
                  <c:v>0.4</c:v>
                </c:pt>
              </c:numCache>
            </c:numRef>
          </c:val>
          <c:smooth val="0"/>
          <c:extLst>
            <c:ext xmlns:c16="http://schemas.microsoft.com/office/drawing/2014/chart" uri="{C3380CC4-5D6E-409C-BE32-E72D297353CC}">
              <c16:uniqueId val="{00000001-A74D-492E-B7BE-0728B5ABDFE9}"/>
            </c:ext>
          </c:extLst>
        </c:ser>
        <c:ser>
          <c:idx val="2"/>
          <c:order val="2"/>
          <c:tx>
            <c:v>nfPPA</c:v>
          </c:tx>
          <c:spPr>
            <a:ln w="28575" cap="rnd">
              <a:solidFill>
                <a:schemeClr val="accent4">
                  <a:lumMod val="60000"/>
                  <a:lumOff val="40000"/>
                </a:schemeClr>
              </a:solidFill>
              <a:prstDash val="sysDot"/>
              <a:round/>
            </a:ln>
            <a:effectLst/>
          </c:spPr>
          <c:marker>
            <c:symbol val="none"/>
          </c:marker>
          <c:val>
            <c:numRef>
              <c:f>'Do Not Edit'!$F$59:$F$63</c:f>
              <c:numCache>
                <c:formatCode>0%</c:formatCode>
                <c:ptCount val="5"/>
                <c:pt idx="0">
                  <c:v>0.7</c:v>
                </c:pt>
                <c:pt idx="1">
                  <c:v>0.66666666666666663</c:v>
                </c:pt>
                <c:pt idx="2">
                  <c:v>0.8</c:v>
                </c:pt>
                <c:pt idx="3">
                  <c:v>0.3</c:v>
                </c:pt>
                <c:pt idx="4">
                  <c:v>1</c:v>
                </c:pt>
              </c:numCache>
            </c:numRef>
          </c:val>
          <c:smooth val="0"/>
          <c:extLst>
            <c:ext xmlns:c16="http://schemas.microsoft.com/office/drawing/2014/chart" uri="{C3380CC4-5D6E-409C-BE32-E72D297353CC}">
              <c16:uniqueId val="{00000002-A74D-492E-B7BE-0728B5ABDFE9}"/>
            </c:ext>
          </c:extLst>
        </c:ser>
        <c:ser>
          <c:idx val="3"/>
          <c:order val="3"/>
          <c:tx>
            <c:v>svPPA</c:v>
          </c:tx>
          <c:spPr>
            <a:ln w="28575" cap="rnd">
              <a:solidFill>
                <a:schemeClr val="accent2"/>
              </a:solidFill>
              <a:prstDash val="sysDot"/>
              <a:round/>
            </a:ln>
            <a:effectLst/>
          </c:spPr>
          <c:marker>
            <c:symbol val="none"/>
          </c:marker>
          <c:val>
            <c:numRef>
              <c:f>'Do Not Edit'!$H$59:$H$63</c:f>
              <c:numCache>
                <c:formatCode>0%</c:formatCode>
                <c:ptCount val="5"/>
                <c:pt idx="0">
                  <c:v>1</c:v>
                </c:pt>
                <c:pt idx="1">
                  <c:v>0.9</c:v>
                </c:pt>
                <c:pt idx="2">
                  <c:v>0.3</c:v>
                </c:pt>
                <c:pt idx="3">
                  <c:v>0.8</c:v>
                </c:pt>
                <c:pt idx="4">
                  <c:v>0.75</c:v>
                </c:pt>
              </c:numCache>
            </c:numRef>
          </c:val>
          <c:smooth val="0"/>
          <c:extLst>
            <c:ext xmlns:c16="http://schemas.microsoft.com/office/drawing/2014/chart" uri="{C3380CC4-5D6E-409C-BE32-E72D297353CC}">
              <c16:uniqueId val="{00000003-A74D-492E-B7BE-0728B5ABDFE9}"/>
            </c:ext>
          </c:extLst>
        </c:ser>
        <c:ser>
          <c:idx val="4"/>
          <c:order val="4"/>
          <c:tx>
            <c:v>PSP</c:v>
          </c:tx>
          <c:spPr>
            <a:ln w="28575" cap="rnd">
              <a:solidFill>
                <a:schemeClr val="accent5"/>
              </a:solidFill>
              <a:prstDash val="sysDot"/>
              <a:round/>
            </a:ln>
            <a:effectLst/>
          </c:spPr>
          <c:marker>
            <c:symbol val="none"/>
          </c:marker>
          <c:val>
            <c:numRef>
              <c:f>'Do Not Edit'!$J$59:$J$63</c:f>
              <c:numCache>
                <c:formatCode>0%</c:formatCode>
                <c:ptCount val="5"/>
                <c:pt idx="0">
                  <c:v>0.86</c:v>
                </c:pt>
                <c:pt idx="1">
                  <c:v>0.87</c:v>
                </c:pt>
                <c:pt idx="2">
                  <c:v>0.95</c:v>
                </c:pt>
                <c:pt idx="3">
                  <c:v>0.7</c:v>
                </c:pt>
                <c:pt idx="4">
                  <c:v>0.94</c:v>
                </c:pt>
              </c:numCache>
            </c:numRef>
          </c:val>
          <c:smooth val="0"/>
          <c:extLst>
            <c:ext xmlns:c16="http://schemas.microsoft.com/office/drawing/2014/chart" uri="{C3380CC4-5D6E-409C-BE32-E72D297353CC}">
              <c16:uniqueId val="{00000004-A74D-492E-B7BE-0728B5ABDFE9}"/>
            </c:ext>
          </c:extLst>
        </c:ser>
        <c:ser>
          <c:idx val="5"/>
          <c:order val="5"/>
          <c:tx>
            <c:v>CBS</c:v>
          </c:tx>
          <c:spPr>
            <a:ln w="28575" cap="rnd">
              <a:solidFill>
                <a:schemeClr val="accent6"/>
              </a:solidFill>
              <a:prstDash val="sysDot"/>
              <a:round/>
            </a:ln>
            <a:effectLst/>
          </c:spPr>
          <c:marker>
            <c:symbol val="none"/>
          </c:marker>
          <c:val>
            <c:numRef>
              <c:f>'Do Not Edit'!$L$59:$L$63</c:f>
              <c:numCache>
                <c:formatCode>0%</c:formatCode>
                <c:ptCount val="5"/>
                <c:pt idx="0">
                  <c:v>0.87</c:v>
                </c:pt>
                <c:pt idx="1">
                  <c:v>0.82</c:v>
                </c:pt>
                <c:pt idx="2">
                  <c:v>0.85</c:v>
                </c:pt>
                <c:pt idx="3">
                  <c:v>0.7</c:v>
                </c:pt>
                <c:pt idx="4">
                  <c:v>0.86</c:v>
                </c:pt>
              </c:numCache>
            </c:numRef>
          </c:val>
          <c:smooth val="0"/>
          <c:extLst>
            <c:ext xmlns:c16="http://schemas.microsoft.com/office/drawing/2014/chart" uri="{C3380CC4-5D6E-409C-BE32-E72D297353CC}">
              <c16:uniqueId val="{00000005-A74D-492E-B7BE-0728B5ABDFE9}"/>
            </c:ext>
          </c:extLst>
        </c:ser>
        <c:dLbls>
          <c:showLegendKey val="0"/>
          <c:showVal val="0"/>
          <c:showCatName val="0"/>
          <c:showSerName val="0"/>
          <c:showPercent val="0"/>
          <c:showBubbleSize val="0"/>
        </c:dLbls>
        <c:smooth val="0"/>
        <c:axId val="634095136"/>
        <c:axId val="634103336"/>
      </c:lineChart>
      <c:catAx>
        <c:axId val="634095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103336"/>
        <c:crosses val="autoZero"/>
        <c:auto val="1"/>
        <c:lblAlgn val="ctr"/>
        <c:lblOffset val="100"/>
        <c:noMultiLvlLbl val="0"/>
      </c:catAx>
      <c:valAx>
        <c:axId val="63410333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095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Scaled</a:t>
            </a:r>
            <a:r>
              <a:rPr lang="en-GB" b="1" baseline="0"/>
              <a:t> Scores </a:t>
            </a:r>
            <a:r>
              <a:rPr lang="en-GB" b="1"/>
              <a:t>DKEFS</a:t>
            </a:r>
            <a:r>
              <a:rPr lang="en-GB" b="1" baseline="0"/>
              <a:t> &amp; Hayling Performance vs Pre-Morbid Estimates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2"/>
          <c:order val="2"/>
          <c:tx>
            <c:strRef>
              <c:f>'Do Not Edit'!$C$72</c:f>
              <c:strCache>
                <c:ptCount val="1"/>
                <c:pt idx="0">
                  <c:v>Z=-1</c:v>
                </c:pt>
              </c:strCache>
            </c:strRef>
          </c:tx>
          <c:spPr>
            <a:solidFill>
              <a:schemeClr val="bg1">
                <a:alpha val="54000"/>
              </a:schemeClr>
            </a:solidFill>
            <a:ln>
              <a:noFill/>
            </a:ln>
            <a:effectLst/>
          </c:spPr>
          <c:val>
            <c:numRef>
              <c:f>'Do Not Edit'!$C$73:$C$85</c:f>
              <c:numCache>
                <c:formatCode>0.00</c:formatCode>
                <c:ptCount val="13"/>
                <c:pt idx="0">
                  <c:v>8</c:v>
                </c:pt>
                <c:pt idx="1">
                  <c:v>8</c:v>
                </c:pt>
                <c:pt idx="2">
                  <c:v>8</c:v>
                </c:pt>
                <c:pt idx="3">
                  <c:v>8</c:v>
                </c:pt>
                <c:pt idx="4">
                  <c:v>8</c:v>
                </c:pt>
                <c:pt idx="5">
                  <c:v>8</c:v>
                </c:pt>
                <c:pt idx="6">
                  <c:v>8</c:v>
                </c:pt>
                <c:pt idx="7">
                  <c:v>8</c:v>
                </c:pt>
                <c:pt idx="8">
                  <c:v>8</c:v>
                </c:pt>
                <c:pt idx="9">
                  <c:v>8</c:v>
                </c:pt>
                <c:pt idx="10">
                  <c:v>8</c:v>
                </c:pt>
                <c:pt idx="11">
                  <c:v>8</c:v>
                </c:pt>
                <c:pt idx="12">
                  <c:v>8</c:v>
                </c:pt>
              </c:numCache>
            </c:numRef>
          </c:val>
          <c:extLst>
            <c:ext xmlns:c16="http://schemas.microsoft.com/office/drawing/2014/chart" uri="{C3380CC4-5D6E-409C-BE32-E72D297353CC}">
              <c16:uniqueId val="{00000004-599F-4141-89CA-A46F526828AC}"/>
            </c:ext>
          </c:extLst>
        </c:ser>
        <c:ser>
          <c:idx val="4"/>
          <c:order val="4"/>
          <c:spPr>
            <a:solidFill>
              <a:schemeClr val="accent6">
                <a:lumMod val="40000"/>
                <a:lumOff val="60000"/>
                <a:alpha val="55000"/>
              </a:schemeClr>
            </a:solidFill>
            <a:ln>
              <a:noFill/>
            </a:ln>
            <a:effectLst/>
          </c:spPr>
          <c:val>
            <c:numRef>
              <c:f>'Do Not Edit'!$E$73:$E$85</c:f>
              <c:numCache>
                <c:formatCode>General</c:formatCode>
                <c:ptCount val="13"/>
                <c:pt idx="0">
                  <c:v>6</c:v>
                </c:pt>
                <c:pt idx="1">
                  <c:v>6</c:v>
                </c:pt>
                <c:pt idx="2">
                  <c:v>6</c:v>
                </c:pt>
                <c:pt idx="3">
                  <c:v>6</c:v>
                </c:pt>
                <c:pt idx="4">
                  <c:v>6</c:v>
                </c:pt>
                <c:pt idx="5">
                  <c:v>6</c:v>
                </c:pt>
                <c:pt idx="6">
                  <c:v>6</c:v>
                </c:pt>
                <c:pt idx="7">
                  <c:v>6</c:v>
                </c:pt>
                <c:pt idx="8">
                  <c:v>6</c:v>
                </c:pt>
                <c:pt idx="9">
                  <c:v>6</c:v>
                </c:pt>
                <c:pt idx="10">
                  <c:v>6</c:v>
                </c:pt>
                <c:pt idx="11">
                  <c:v>6</c:v>
                </c:pt>
                <c:pt idx="12">
                  <c:v>6</c:v>
                </c:pt>
              </c:numCache>
            </c:numRef>
          </c:val>
          <c:extLst>
            <c:ext xmlns:c16="http://schemas.microsoft.com/office/drawing/2014/chart" uri="{C3380CC4-5D6E-409C-BE32-E72D297353CC}">
              <c16:uniqueId val="{00000006-599F-4141-89CA-A46F526828AC}"/>
            </c:ext>
          </c:extLst>
        </c:ser>
        <c:dLbls>
          <c:showLegendKey val="0"/>
          <c:showVal val="0"/>
          <c:showCatName val="0"/>
          <c:showSerName val="0"/>
          <c:showPercent val="0"/>
          <c:showBubbleSize val="0"/>
        </c:dLbls>
        <c:axId val="480864928"/>
        <c:axId val="480865344"/>
      </c:areaChar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3-599F-4141-89CA-A46F526828AC}"/>
              </c:ext>
            </c:extLst>
          </c:dPt>
          <c:dPt>
            <c:idx val="1"/>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2-599F-4141-89CA-A46F526828AC}"/>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1-599F-4141-89CA-A46F526828AC}"/>
              </c:ext>
            </c:extLst>
          </c:dPt>
          <c:dPt>
            <c:idx val="3"/>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0-599F-4141-89CA-A46F526828AC}"/>
              </c:ext>
            </c:extLst>
          </c:dPt>
          <c:dPt>
            <c:idx val="4"/>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F-599F-4141-89CA-A46F526828AC}"/>
              </c:ext>
            </c:extLst>
          </c:dPt>
          <c:dPt>
            <c:idx val="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7-599F-4141-89CA-A46F526828AC}"/>
              </c:ext>
            </c:extLst>
          </c:dPt>
          <c:dPt>
            <c:idx val="6"/>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8-599F-4141-89CA-A46F526828AC}"/>
              </c:ext>
            </c:extLst>
          </c:dPt>
          <c:dPt>
            <c:idx val="7"/>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9-599F-4141-89CA-A46F526828AC}"/>
              </c:ext>
            </c:extLst>
          </c:dPt>
          <c:dPt>
            <c:idx val="8"/>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A-599F-4141-89CA-A46F526828AC}"/>
              </c:ext>
            </c:extLst>
          </c:dPt>
          <c:dPt>
            <c:idx val="9"/>
            <c:invertIfNegative val="0"/>
            <c:bubble3D val="0"/>
            <c:spPr>
              <a:solidFill>
                <a:schemeClr val="accent3">
                  <a:lumMod val="75000"/>
                </a:schemeClr>
              </a:solidFill>
              <a:ln>
                <a:noFill/>
              </a:ln>
              <a:effectLst/>
            </c:spPr>
            <c:extLst>
              <c:ext xmlns:c16="http://schemas.microsoft.com/office/drawing/2014/chart" uri="{C3380CC4-5D6E-409C-BE32-E72D297353CC}">
                <c16:uniqueId val="{0000000B-599F-4141-89CA-A46F526828AC}"/>
              </c:ext>
            </c:extLst>
          </c:dPt>
          <c:dPt>
            <c:idx val="10"/>
            <c:invertIfNegative val="0"/>
            <c:bubble3D val="0"/>
            <c:spPr>
              <a:solidFill>
                <a:schemeClr val="bg2">
                  <a:lumMod val="50000"/>
                </a:schemeClr>
              </a:solidFill>
              <a:ln>
                <a:noFill/>
              </a:ln>
              <a:effectLst/>
            </c:spPr>
            <c:extLst>
              <c:ext xmlns:c16="http://schemas.microsoft.com/office/drawing/2014/chart" uri="{C3380CC4-5D6E-409C-BE32-E72D297353CC}">
                <c16:uniqueId val="{0000000C-599F-4141-89CA-A46F526828AC}"/>
              </c:ext>
            </c:extLst>
          </c:dPt>
          <c:dPt>
            <c:idx val="11"/>
            <c:invertIfNegative val="0"/>
            <c:bubble3D val="0"/>
            <c:spPr>
              <a:solidFill>
                <a:schemeClr val="bg2">
                  <a:lumMod val="50000"/>
                </a:schemeClr>
              </a:solidFill>
              <a:ln>
                <a:noFill/>
              </a:ln>
              <a:effectLst/>
            </c:spPr>
            <c:extLst>
              <c:ext xmlns:c16="http://schemas.microsoft.com/office/drawing/2014/chart" uri="{C3380CC4-5D6E-409C-BE32-E72D297353CC}">
                <c16:uniqueId val="{0000000D-599F-4141-89CA-A46F526828AC}"/>
              </c:ext>
            </c:extLst>
          </c:dPt>
          <c:dPt>
            <c:idx val="12"/>
            <c:invertIfNegative val="0"/>
            <c:bubble3D val="0"/>
            <c:spPr>
              <a:solidFill>
                <a:schemeClr val="bg2">
                  <a:lumMod val="50000"/>
                </a:schemeClr>
              </a:solidFill>
              <a:ln>
                <a:noFill/>
              </a:ln>
              <a:effectLst/>
            </c:spPr>
            <c:extLst>
              <c:ext xmlns:c16="http://schemas.microsoft.com/office/drawing/2014/chart" uri="{C3380CC4-5D6E-409C-BE32-E72D297353CC}">
                <c16:uniqueId val="{0000000E-599F-4141-89CA-A46F526828AC}"/>
              </c:ext>
            </c:extLst>
          </c:dPt>
          <c:cat>
            <c:strRef>
              <c:f>('Standard Tests'!$A$30:$A$34,'Standard Tests'!$A$36:$A$39,'Standard Tests'!$A$41:$A$43,'Standard Tests'!$A$51)</c:f>
              <c:strCache>
                <c:ptCount val="13"/>
                <c:pt idx="0">
                  <c:v>Visual Scanning</c:v>
                </c:pt>
                <c:pt idx="1">
                  <c:v>Number Sequencing</c:v>
                </c:pt>
                <c:pt idx="2">
                  <c:v>Letter Sequencing</c:v>
                </c:pt>
                <c:pt idx="3">
                  <c:v>Number Letter Switching</c:v>
                </c:pt>
                <c:pt idx="4">
                  <c:v>Motor Speed</c:v>
                </c:pt>
                <c:pt idx="5">
                  <c:v>Phonemic Fluency</c:v>
                </c:pt>
                <c:pt idx="6">
                  <c:v>Semantic Fluency </c:v>
                </c:pt>
                <c:pt idx="7">
                  <c:v>Semantic Switching</c:v>
                </c:pt>
                <c:pt idx="8">
                  <c:v>Switching Accuracy</c:v>
                </c:pt>
                <c:pt idx="9">
                  <c:v>Sensible (Box A)</c:v>
                </c:pt>
                <c:pt idx="10">
                  <c:v>Unconnected (Box B)</c:v>
                </c:pt>
                <c:pt idx="11">
                  <c:v>Errors (Box C)</c:v>
                </c:pt>
                <c:pt idx="12">
                  <c:v>Overall Scaled Score</c:v>
                </c:pt>
              </c:strCache>
            </c:strRef>
          </c:cat>
          <c:val>
            <c:numRef>
              <c:f>('Standard Tests'!$C$30:$C$34,'Standard Tests'!$C$36:$C$39,'Standard Tests'!$E$41:$E$43,'Standard Tests'!$E$51)</c:f>
              <c:numCache>
                <c:formatCode>General</c:formatCode>
                <c:ptCount val="13"/>
                <c:pt idx="0">
                  <c:v>19</c:v>
                </c:pt>
                <c:pt idx="1">
                  <c:v>19</c:v>
                </c:pt>
                <c:pt idx="2">
                  <c:v>18</c:v>
                </c:pt>
                <c:pt idx="3">
                  <c:v>18</c:v>
                </c:pt>
                <c:pt idx="4">
                  <c:v>16</c:v>
                </c:pt>
                <c:pt idx="5">
                  <c:v>1</c:v>
                </c:pt>
                <c:pt idx="6">
                  <c:v>1</c:v>
                </c:pt>
                <c:pt idx="7">
                  <c:v>1</c:v>
                </c:pt>
                <c:pt idx="8">
                  <c:v>1</c:v>
                </c:pt>
                <c:pt idx="9" formatCode="0">
                  <c:v>12</c:v>
                </c:pt>
                <c:pt idx="10" formatCode="0">
                  <c:v>13</c:v>
                </c:pt>
                <c:pt idx="11" formatCode="0">
                  <c:v>13</c:v>
                </c:pt>
                <c:pt idx="12" formatCode="0">
                  <c:v>16</c:v>
                </c:pt>
              </c:numCache>
            </c:numRef>
          </c:val>
          <c:extLst>
            <c:ext xmlns:c16="http://schemas.microsoft.com/office/drawing/2014/chart" uri="{C3380CC4-5D6E-409C-BE32-E72D297353CC}">
              <c16:uniqueId val="{00000000-599F-4141-89CA-A46F526828AC}"/>
            </c:ext>
          </c:extLst>
        </c:ser>
        <c:dLbls>
          <c:showLegendKey val="0"/>
          <c:showVal val="0"/>
          <c:showCatName val="0"/>
          <c:showSerName val="0"/>
          <c:showPercent val="0"/>
          <c:showBubbleSize val="0"/>
        </c:dLbls>
        <c:gapWidth val="132"/>
        <c:axId val="480864928"/>
        <c:axId val="480865344"/>
      </c:barChart>
      <c:lineChart>
        <c:grouping val="standard"/>
        <c:varyColors val="0"/>
        <c:ser>
          <c:idx val="1"/>
          <c:order val="1"/>
          <c:tx>
            <c:strRef>
              <c:f>'Do Not Edit'!$B$72</c:f>
              <c:strCache>
                <c:ptCount val="1"/>
                <c:pt idx="0">
                  <c:v>z=-2</c:v>
                </c:pt>
              </c:strCache>
            </c:strRef>
          </c:tx>
          <c:spPr>
            <a:ln w="19050" cap="rnd">
              <a:solidFill>
                <a:srgbClr val="FF0000"/>
              </a:solidFill>
              <a:prstDash val="dash"/>
              <a:round/>
            </a:ln>
            <a:effectLst/>
          </c:spPr>
          <c:marker>
            <c:symbol val="none"/>
          </c:marker>
          <c:val>
            <c:numRef>
              <c:f>'Do Not Edit'!$B$73:$B$85</c:f>
              <c:numCache>
                <c:formatCode>0.00</c:formatCode>
                <c:ptCount val="13"/>
                <c:pt idx="0">
                  <c:v>5</c:v>
                </c:pt>
                <c:pt idx="1">
                  <c:v>5</c:v>
                </c:pt>
                <c:pt idx="2">
                  <c:v>5</c:v>
                </c:pt>
                <c:pt idx="3">
                  <c:v>5</c:v>
                </c:pt>
                <c:pt idx="4">
                  <c:v>5</c:v>
                </c:pt>
                <c:pt idx="5">
                  <c:v>5</c:v>
                </c:pt>
                <c:pt idx="6">
                  <c:v>5</c:v>
                </c:pt>
                <c:pt idx="7">
                  <c:v>5</c:v>
                </c:pt>
                <c:pt idx="8">
                  <c:v>5</c:v>
                </c:pt>
                <c:pt idx="9">
                  <c:v>5</c:v>
                </c:pt>
                <c:pt idx="10">
                  <c:v>5</c:v>
                </c:pt>
                <c:pt idx="11">
                  <c:v>5</c:v>
                </c:pt>
                <c:pt idx="12">
                  <c:v>5</c:v>
                </c:pt>
              </c:numCache>
            </c:numRef>
          </c:val>
          <c:smooth val="0"/>
          <c:extLst>
            <c:ext xmlns:c16="http://schemas.microsoft.com/office/drawing/2014/chart" uri="{C3380CC4-5D6E-409C-BE32-E72D297353CC}">
              <c16:uniqueId val="{00000003-599F-4141-89CA-A46F526828AC}"/>
            </c:ext>
          </c:extLst>
        </c:ser>
        <c:ser>
          <c:idx val="3"/>
          <c:order val="3"/>
          <c:tx>
            <c:strRef>
              <c:f>'Do Not Edit'!$D$72</c:f>
              <c:strCache>
                <c:ptCount val="1"/>
                <c:pt idx="0">
                  <c:v>Z=+1</c:v>
                </c:pt>
              </c:strCache>
            </c:strRef>
          </c:tx>
          <c:spPr>
            <a:ln w="28575" cap="rnd">
              <a:solidFill>
                <a:schemeClr val="bg1">
                  <a:alpha val="0"/>
                </a:schemeClr>
              </a:solidFill>
              <a:round/>
            </a:ln>
            <a:effectLst/>
          </c:spPr>
          <c:marker>
            <c:symbol val="none"/>
          </c:marker>
          <c:val>
            <c:numRef>
              <c:f>'Do Not Edit'!$D$73:$D$85</c:f>
              <c:numCache>
                <c:formatCode>0.00</c:formatCode>
                <c:ptCount val="13"/>
                <c:pt idx="0">
                  <c:v>14</c:v>
                </c:pt>
                <c:pt idx="1">
                  <c:v>14</c:v>
                </c:pt>
                <c:pt idx="2">
                  <c:v>14</c:v>
                </c:pt>
                <c:pt idx="3">
                  <c:v>14</c:v>
                </c:pt>
                <c:pt idx="4">
                  <c:v>14</c:v>
                </c:pt>
                <c:pt idx="5">
                  <c:v>14</c:v>
                </c:pt>
                <c:pt idx="6">
                  <c:v>14</c:v>
                </c:pt>
                <c:pt idx="7">
                  <c:v>14</c:v>
                </c:pt>
                <c:pt idx="8">
                  <c:v>14</c:v>
                </c:pt>
                <c:pt idx="9">
                  <c:v>14</c:v>
                </c:pt>
                <c:pt idx="10">
                  <c:v>14</c:v>
                </c:pt>
                <c:pt idx="11">
                  <c:v>14</c:v>
                </c:pt>
                <c:pt idx="12">
                  <c:v>14</c:v>
                </c:pt>
              </c:numCache>
            </c:numRef>
          </c:val>
          <c:smooth val="0"/>
          <c:extLst>
            <c:ext xmlns:c16="http://schemas.microsoft.com/office/drawing/2014/chart" uri="{C3380CC4-5D6E-409C-BE32-E72D297353CC}">
              <c16:uniqueId val="{00000005-599F-4141-89CA-A46F526828AC}"/>
            </c:ext>
          </c:extLst>
        </c:ser>
        <c:ser>
          <c:idx val="5"/>
          <c:order val="5"/>
          <c:tx>
            <c:v>z=-1.5</c:v>
          </c:tx>
          <c:spPr>
            <a:ln w="19050" cap="rnd">
              <a:solidFill>
                <a:schemeClr val="accent2"/>
              </a:solidFill>
              <a:prstDash val="dash"/>
              <a:round/>
            </a:ln>
            <a:effectLst/>
          </c:spPr>
          <c:marker>
            <c:symbol val="none"/>
          </c:marker>
          <c:val>
            <c:numRef>
              <c:f>'Do Not Edit'!$F$73:$F$85</c:f>
              <c:numCache>
                <c:formatCode>0.00</c:formatCode>
                <c:ptCount val="13"/>
                <c:pt idx="0">
                  <c:v>6.5</c:v>
                </c:pt>
                <c:pt idx="1">
                  <c:v>6.5</c:v>
                </c:pt>
                <c:pt idx="2">
                  <c:v>6.5</c:v>
                </c:pt>
                <c:pt idx="3">
                  <c:v>6.5</c:v>
                </c:pt>
                <c:pt idx="4">
                  <c:v>6.5</c:v>
                </c:pt>
                <c:pt idx="5">
                  <c:v>6.5</c:v>
                </c:pt>
                <c:pt idx="6">
                  <c:v>6.5</c:v>
                </c:pt>
                <c:pt idx="7">
                  <c:v>6.5</c:v>
                </c:pt>
                <c:pt idx="8">
                  <c:v>6.5</c:v>
                </c:pt>
                <c:pt idx="9">
                  <c:v>6.5</c:v>
                </c:pt>
                <c:pt idx="10">
                  <c:v>6.5</c:v>
                </c:pt>
                <c:pt idx="11">
                  <c:v>6.5</c:v>
                </c:pt>
                <c:pt idx="12">
                  <c:v>6.5</c:v>
                </c:pt>
              </c:numCache>
            </c:numRef>
          </c:val>
          <c:smooth val="0"/>
          <c:extLst>
            <c:ext xmlns:c16="http://schemas.microsoft.com/office/drawing/2014/chart" uri="{C3380CC4-5D6E-409C-BE32-E72D297353CC}">
              <c16:uniqueId val="{0000001A-58FF-4899-B364-E3C1286A2678}"/>
            </c:ext>
          </c:extLst>
        </c:ser>
        <c:dLbls>
          <c:showLegendKey val="0"/>
          <c:showVal val="0"/>
          <c:showCatName val="0"/>
          <c:showSerName val="0"/>
          <c:showPercent val="0"/>
          <c:showBubbleSize val="0"/>
        </c:dLbls>
        <c:marker val="1"/>
        <c:smooth val="0"/>
        <c:axId val="480864928"/>
        <c:axId val="480865344"/>
      </c:lineChart>
      <c:catAx>
        <c:axId val="4808649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D-KEFS Trails</a:t>
                </a:r>
                <a:r>
                  <a:rPr lang="en-GB" b="1" baseline="0"/>
                  <a:t>                                                              D-KEFS Fluency                                                                 Hayling</a:t>
                </a:r>
                <a:endParaRPr lang="en-GB" b="1"/>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865344"/>
        <c:crosses val="autoZero"/>
        <c:auto val="1"/>
        <c:lblAlgn val="ctr"/>
        <c:lblOffset val="100"/>
        <c:noMultiLvlLbl val="0"/>
      </c:catAx>
      <c:valAx>
        <c:axId val="480865344"/>
        <c:scaling>
          <c:orientation val="minMax"/>
          <c:max val="19"/>
          <c:min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Weschler Scaled Score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864928"/>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RBANS T2 vs RBANS T1 vs Norma</a:t>
            </a:r>
            <a:r>
              <a:rPr lang="en-GB" b="1" baseline="0"/>
              <a:t>l Expected Performance Range at T2 (90% CI) </a:t>
            </a:r>
            <a:br>
              <a:rPr lang="en-GB" b="1" baseline="0"/>
            </a:br>
            <a:r>
              <a:rPr lang="en-GB" b="1" baseline="0"/>
              <a:t>- using Hammers et al 2022 Regression Calculations</a:t>
            </a:r>
            <a:endParaRPr lang="en-GB"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5639303707726202E-2"/>
          <c:y val="7.4382617912029672E-2"/>
          <c:w val="0.66314682706899708"/>
          <c:h val="0.76946818054738386"/>
        </c:manualLayout>
      </c:layout>
      <c:areaChart>
        <c:grouping val="stacked"/>
        <c:varyColors val="0"/>
        <c:ser>
          <c:idx val="2"/>
          <c:order val="2"/>
          <c:tx>
            <c:v>Significantly Lower Performance</c:v>
          </c:tx>
          <c:spPr>
            <a:solidFill>
              <a:schemeClr val="accent2">
                <a:lumMod val="60000"/>
                <a:lumOff val="40000"/>
                <a:alpha val="44000"/>
              </a:schemeClr>
            </a:solidFill>
            <a:ln w="25400">
              <a:noFill/>
            </a:ln>
            <a:effectLst/>
          </c:spPr>
          <c:val>
            <c:numRef>
              <c:f>'Do Not Edit'!$B$144:$G$144</c:f>
              <c:numCache>
                <c:formatCode>General</c:formatCode>
                <c:ptCount val="6"/>
                <c:pt idx="0">
                  <c:v>82.295950000000005</c:v>
                </c:pt>
                <c:pt idx="1">
                  <c:v>60.900650000000006</c:v>
                </c:pt>
                <c:pt idx="2">
                  <c:v>74.503199999999993</c:v>
                </c:pt>
                <c:pt idx="3">
                  <c:v>69.886949999999999</c:v>
                </c:pt>
                <c:pt idx="4">
                  <c:v>73.745299999999986</c:v>
                </c:pt>
                <c:pt idx="5">
                  <c:v>63.765450000000001</c:v>
                </c:pt>
              </c:numCache>
            </c:numRef>
          </c:val>
          <c:extLst>
            <c:ext xmlns:c16="http://schemas.microsoft.com/office/drawing/2014/chart" uri="{C3380CC4-5D6E-409C-BE32-E72D297353CC}">
              <c16:uniqueId val="{00000000-8E83-4544-ADB3-6FDBC74D1412}"/>
            </c:ext>
          </c:extLst>
        </c:ser>
        <c:ser>
          <c:idx val="4"/>
          <c:order val="4"/>
          <c:tx>
            <c:v>Normal Re-test Performance Range at T2 (90%CI)</c:v>
          </c:tx>
          <c:spPr>
            <a:solidFill>
              <a:schemeClr val="accent6">
                <a:lumMod val="40000"/>
                <a:lumOff val="60000"/>
                <a:alpha val="40000"/>
              </a:schemeClr>
            </a:solidFill>
            <a:ln w="25400">
              <a:noFill/>
            </a:ln>
            <a:effectLst/>
          </c:spPr>
          <c:val>
            <c:numRef>
              <c:f>'Do Not Edit'!$B$147:$G$147</c:f>
              <c:numCache>
                <c:formatCode>General</c:formatCode>
                <c:ptCount val="6"/>
                <c:pt idx="0">
                  <c:v>35.828100000000006</c:v>
                </c:pt>
                <c:pt idx="1">
                  <c:v>46.158699999999989</c:v>
                </c:pt>
                <c:pt idx="2">
                  <c:v>32.37360000000001</c:v>
                </c:pt>
                <c:pt idx="3">
                  <c:v>43.066100000000006</c:v>
                </c:pt>
                <c:pt idx="4">
                  <c:v>35.729399999999998</c:v>
                </c:pt>
                <c:pt idx="5">
                  <c:v>38.789099999999991</c:v>
                </c:pt>
              </c:numCache>
            </c:numRef>
          </c:val>
          <c:extLst>
            <c:ext xmlns:c16="http://schemas.microsoft.com/office/drawing/2014/chart" uri="{C3380CC4-5D6E-409C-BE32-E72D297353CC}">
              <c16:uniqueId val="{00000001-8E83-4544-ADB3-6FDBC74D1412}"/>
            </c:ext>
          </c:extLst>
        </c:ser>
        <c:dLbls>
          <c:showLegendKey val="0"/>
          <c:showVal val="0"/>
          <c:showCatName val="0"/>
          <c:showSerName val="0"/>
          <c:showPercent val="0"/>
          <c:showBubbleSize val="0"/>
        </c:dLbls>
        <c:axId val="638275088"/>
        <c:axId val="471286720"/>
      </c:areaChart>
      <c:lineChart>
        <c:grouping val="standard"/>
        <c:varyColors val="0"/>
        <c:ser>
          <c:idx val="0"/>
          <c:order val="0"/>
          <c:tx>
            <c:v>Re-test RBANS (T2)</c:v>
          </c:tx>
          <c:spPr>
            <a:ln w="28575" cap="rnd">
              <a:solidFill>
                <a:srgbClr val="00B0F0"/>
              </a:solidFill>
              <a:round/>
            </a:ln>
            <a:effectLst/>
          </c:spPr>
          <c:marker>
            <c:symbol val="circle"/>
            <c:size val="5"/>
            <c:spPr>
              <a:solidFill>
                <a:schemeClr val="accent1"/>
              </a:solidFill>
              <a:ln w="19050">
                <a:solidFill>
                  <a:srgbClr val="00B0F0"/>
                </a:solidFill>
              </a:ln>
              <a:effectLst/>
            </c:spPr>
          </c:marker>
          <c:cat>
            <c:strRef>
              <c:f>'Standard Tests'!$A$23:$A$28</c:f>
              <c:strCache>
                <c:ptCount val="6"/>
                <c:pt idx="0">
                  <c:v>Immediate Memory</c:v>
                </c:pt>
                <c:pt idx="1">
                  <c:v>VS/Constructional</c:v>
                </c:pt>
                <c:pt idx="2">
                  <c:v>Language</c:v>
                </c:pt>
                <c:pt idx="3">
                  <c:v>Attention</c:v>
                </c:pt>
                <c:pt idx="4">
                  <c:v>Delayed Memory </c:v>
                </c:pt>
                <c:pt idx="5">
                  <c:v>Total Scale</c:v>
                </c:pt>
              </c:strCache>
            </c:strRef>
          </c:cat>
          <c:val>
            <c:numRef>
              <c:f>'Standard Tests'!$B$23:$B$28</c:f>
              <c:numCache>
                <c:formatCode>General</c:formatCode>
                <c:ptCount val="6"/>
                <c:pt idx="0">
                  <c:v>109</c:v>
                </c:pt>
                <c:pt idx="1">
                  <c:v>50</c:v>
                </c:pt>
                <c:pt idx="2">
                  <c:v>60</c:v>
                </c:pt>
                <c:pt idx="3">
                  <c:v>64</c:v>
                </c:pt>
                <c:pt idx="4">
                  <c:v>75</c:v>
                </c:pt>
                <c:pt idx="5">
                  <c:v>64</c:v>
                </c:pt>
              </c:numCache>
            </c:numRef>
          </c:val>
          <c:smooth val="0"/>
          <c:extLst>
            <c:ext xmlns:c16="http://schemas.microsoft.com/office/drawing/2014/chart" uri="{C3380CC4-5D6E-409C-BE32-E72D297353CC}">
              <c16:uniqueId val="{00000002-8E83-4544-ADB3-6FDBC74D1412}"/>
            </c:ext>
          </c:extLst>
        </c:ser>
        <c:ser>
          <c:idx val="1"/>
          <c:order val="1"/>
          <c:tx>
            <c:v>Predicted Re-test Score (T2)</c:v>
          </c:tx>
          <c:spPr>
            <a:ln w="28575" cap="rnd">
              <a:solidFill>
                <a:schemeClr val="accent2"/>
              </a:solidFill>
              <a:prstDash val="dash"/>
              <a:round/>
            </a:ln>
            <a:effectLst/>
          </c:spPr>
          <c:marker>
            <c:symbol val="circle"/>
            <c:size val="5"/>
            <c:spPr>
              <a:solidFill>
                <a:schemeClr val="accent2"/>
              </a:solidFill>
              <a:ln w="19050">
                <a:solidFill>
                  <a:srgbClr val="00B050"/>
                </a:solidFill>
                <a:prstDash val="dash"/>
              </a:ln>
              <a:effectLst/>
            </c:spPr>
          </c:marker>
          <c:val>
            <c:numRef>
              <c:f>'Do Not Edit'!$B$142:$G$142</c:f>
              <c:numCache>
                <c:formatCode>General</c:formatCode>
                <c:ptCount val="6"/>
                <c:pt idx="0">
                  <c:v>100.21000000000001</c:v>
                </c:pt>
                <c:pt idx="1">
                  <c:v>83.98</c:v>
                </c:pt>
                <c:pt idx="2">
                  <c:v>90.69</c:v>
                </c:pt>
                <c:pt idx="3">
                  <c:v>91.42</c:v>
                </c:pt>
                <c:pt idx="4">
                  <c:v>91.609999999999985</c:v>
                </c:pt>
                <c:pt idx="5">
                  <c:v>83.16</c:v>
                </c:pt>
              </c:numCache>
            </c:numRef>
          </c:val>
          <c:smooth val="0"/>
          <c:extLst>
            <c:ext xmlns:c16="http://schemas.microsoft.com/office/drawing/2014/chart" uri="{C3380CC4-5D6E-409C-BE32-E72D297353CC}">
              <c16:uniqueId val="{00000003-8E83-4544-ADB3-6FDBC74D1412}"/>
            </c:ext>
          </c:extLst>
        </c:ser>
        <c:ser>
          <c:idx val="7"/>
          <c:order val="7"/>
          <c:tx>
            <c:v>Previous RBANS (T1)</c:v>
          </c:tx>
          <c:spPr>
            <a:ln w="28575" cap="rnd">
              <a:solidFill>
                <a:schemeClr val="accent2">
                  <a:lumMod val="60000"/>
                </a:schemeClr>
              </a:solidFill>
              <a:prstDash val="solid"/>
              <a:round/>
            </a:ln>
            <a:effectLst/>
          </c:spPr>
          <c:marker>
            <c:symbol val="circle"/>
            <c:size val="5"/>
            <c:spPr>
              <a:solidFill>
                <a:schemeClr val="accent2">
                  <a:lumMod val="60000"/>
                </a:schemeClr>
              </a:solidFill>
              <a:ln w="9525">
                <a:solidFill>
                  <a:schemeClr val="accent2">
                    <a:lumMod val="60000"/>
                  </a:schemeClr>
                </a:solidFill>
                <a:prstDash val="solid"/>
              </a:ln>
              <a:effectLst/>
            </c:spPr>
          </c:marker>
          <c:val>
            <c:numRef>
              <c:f>'RBANS Predicted Re-test Scores'!$B$25:$B$30</c:f>
              <c:numCache>
                <c:formatCode>General</c:formatCode>
                <c:ptCount val="6"/>
                <c:pt idx="0">
                  <c:v>78</c:v>
                </c:pt>
                <c:pt idx="1">
                  <c:v>66</c:v>
                </c:pt>
                <c:pt idx="2">
                  <c:v>84</c:v>
                </c:pt>
                <c:pt idx="3">
                  <c:v>82</c:v>
                </c:pt>
                <c:pt idx="4">
                  <c:v>81</c:v>
                </c:pt>
                <c:pt idx="5">
                  <c:v>72</c:v>
                </c:pt>
              </c:numCache>
            </c:numRef>
          </c:val>
          <c:smooth val="0"/>
          <c:extLst>
            <c:ext xmlns:c16="http://schemas.microsoft.com/office/drawing/2014/chart" uri="{C3380CC4-5D6E-409C-BE32-E72D297353CC}">
              <c16:uniqueId val="{00000004-8E83-4544-ADB3-6FDBC74D1412}"/>
            </c:ext>
          </c:extLst>
        </c:ser>
        <c:dLbls>
          <c:showLegendKey val="0"/>
          <c:showVal val="0"/>
          <c:showCatName val="0"/>
          <c:showSerName val="0"/>
          <c:showPercent val="0"/>
          <c:showBubbleSize val="0"/>
        </c:dLbls>
        <c:marker val="1"/>
        <c:smooth val="0"/>
        <c:axId val="638275088"/>
        <c:axId val="471286720"/>
        <c:extLst>
          <c:ext xmlns:c15="http://schemas.microsoft.com/office/drawing/2012/chart" uri="{02D57815-91ED-43cb-92C2-25804820EDAC}">
            <c15:filteredLineSeries>
              <c15:ser>
                <c:idx val="3"/>
                <c:order val="3"/>
                <c:tx>
                  <c:v>Upper</c:v>
                </c:tx>
                <c:spPr>
                  <a:ln w="28575" cap="rnd">
                    <a:solidFill>
                      <a:schemeClr val="accent4"/>
                    </a:solidFill>
                    <a:round/>
                  </a:ln>
                  <a:effectLst/>
                </c:spPr>
                <c:marker>
                  <c:symbol val="none"/>
                </c:marker>
                <c:val>
                  <c:numRef>
                    <c:extLst>
                      <c:ext uri="{02D57815-91ED-43cb-92C2-25804820EDAC}">
                        <c15:formulaRef>
                          <c15:sqref>'Do Not Edit'!$B$143:$G$143</c15:sqref>
                        </c15:formulaRef>
                      </c:ext>
                    </c:extLst>
                    <c:numCache>
                      <c:formatCode>General</c:formatCode>
                      <c:ptCount val="6"/>
                      <c:pt idx="0">
                        <c:v>118.12405000000001</c:v>
                      </c:pt>
                      <c:pt idx="1">
                        <c:v>107.05934999999999</c:v>
                      </c:pt>
                      <c:pt idx="2">
                        <c:v>106.8768</c:v>
                      </c:pt>
                      <c:pt idx="3">
                        <c:v>112.95305</c:v>
                      </c:pt>
                      <c:pt idx="4">
                        <c:v>109.47469999999998</c:v>
                      </c:pt>
                      <c:pt idx="5">
                        <c:v>102.55454999999999</c:v>
                      </c:pt>
                    </c:numCache>
                  </c:numRef>
                </c:val>
                <c:smooth val="0"/>
                <c:extLst>
                  <c:ext xmlns:c16="http://schemas.microsoft.com/office/drawing/2014/chart" uri="{C3380CC4-5D6E-409C-BE32-E72D297353CC}">
                    <c16:uniqueId val="{00000005-8E83-4544-ADB3-6FDBC74D1412}"/>
                  </c:ext>
                </c:extLst>
              </c15:ser>
            </c15:filteredLineSeries>
            <c15:filteredLineSeries>
              <c15:ser>
                <c:idx val="5"/>
                <c:order val="5"/>
                <c:tx>
                  <c:v>z=-1.5</c:v>
                </c:tx>
                <c:spPr>
                  <a:ln w="19050" cap="rnd">
                    <a:solidFill>
                      <a:schemeClr val="accent2"/>
                    </a:solidFill>
                    <a:prstDash val="dash"/>
                    <a:round/>
                  </a:ln>
                  <a:effectLst/>
                </c:spPr>
                <c:marker>
                  <c:symbol val="none"/>
                </c:marker>
                <c:val>
                  <c:numRef>
                    <c:extLst xmlns:c15="http://schemas.microsoft.com/office/drawing/2012/chart">
                      <c:ext xmlns:c15="http://schemas.microsoft.com/office/drawing/2012/chart" uri="{02D57815-91ED-43cb-92C2-25804820EDAC}">
                        <c15:formulaRef>
                          <c15:sqref>'Do Not Edit'!$B$39:$G$39</c15:sqref>
                        </c15:formulaRef>
                      </c:ext>
                    </c:extLst>
                    <c:numCache>
                      <c:formatCode>General</c:formatCode>
                      <c:ptCount val="6"/>
                      <c:pt idx="0">
                        <c:v>82.906700000000001</c:v>
                      </c:pt>
                      <c:pt idx="1">
                        <c:v>80.639765999999966</c:v>
                      </c:pt>
                      <c:pt idx="2">
                        <c:v>80.639765999999966</c:v>
                      </c:pt>
                      <c:pt idx="3">
                        <c:v>80.639765999999966</c:v>
                      </c:pt>
                      <c:pt idx="4">
                        <c:v>82.769200000000012</c:v>
                      </c:pt>
                      <c:pt idx="5">
                        <c:v>80.639765999999966</c:v>
                      </c:pt>
                    </c:numCache>
                  </c:numRef>
                </c:val>
                <c:smooth val="0"/>
                <c:extLst xmlns:c15="http://schemas.microsoft.com/office/drawing/2012/chart">
                  <c:ext xmlns:c16="http://schemas.microsoft.com/office/drawing/2014/chart" uri="{C3380CC4-5D6E-409C-BE32-E72D297353CC}">
                    <c16:uniqueId val="{00000006-8E83-4544-ADB3-6FDBC74D1412}"/>
                  </c:ext>
                </c:extLst>
              </c15:ser>
            </c15:filteredLineSeries>
            <c15:filteredLineSeries>
              <c15:ser>
                <c:idx val="6"/>
                <c:order val="6"/>
                <c:tx>
                  <c:v>z=-2</c:v>
                </c:tx>
                <c:spPr>
                  <a:ln w="19050" cap="rnd">
                    <a:solidFill>
                      <a:srgbClr val="FF0000"/>
                    </a:solidFill>
                    <a:prstDash val="dash"/>
                    <a:round/>
                  </a:ln>
                  <a:effectLst/>
                </c:spPr>
                <c:marker>
                  <c:symbol val="none"/>
                </c:marker>
                <c:val>
                  <c:numRef>
                    <c:extLst xmlns:c15="http://schemas.microsoft.com/office/drawing/2012/chart">
                      <c:ext xmlns:c15="http://schemas.microsoft.com/office/drawing/2012/chart" uri="{02D57815-91ED-43cb-92C2-25804820EDAC}">
                        <c15:formulaRef>
                          <c15:sqref>'Do Not Edit'!$B$40:$G$40</c15:sqref>
                        </c15:formulaRef>
                      </c:ext>
                    </c:extLst>
                    <c:numCache>
                      <c:formatCode>General</c:formatCode>
                      <c:ptCount val="6"/>
                      <c:pt idx="0">
                        <c:v>75.406700000000001</c:v>
                      </c:pt>
                      <c:pt idx="1">
                        <c:v>73.139765999999966</c:v>
                      </c:pt>
                      <c:pt idx="2">
                        <c:v>73.139765999999966</c:v>
                      </c:pt>
                      <c:pt idx="3">
                        <c:v>73.139765999999966</c:v>
                      </c:pt>
                      <c:pt idx="4">
                        <c:v>75.269200000000012</c:v>
                      </c:pt>
                      <c:pt idx="5">
                        <c:v>73.139765999999966</c:v>
                      </c:pt>
                    </c:numCache>
                  </c:numRef>
                </c:val>
                <c:smooth val="0"/>
                <c:extLst xmlns:c15="http://schemas.microsoft.com/office/drawing/2012/chart">
                  <c:ext xmlns:c16="http://schemas.microsoft.com/office/drawing/2014/chart" uri="{C3380CC4-5D6E-409C-BE32-E72D297353CC}">
                    <c16:uniqueId val="{00000007-8E83-4544-ADB3-6FDBC74D1412}"/>
                  </c:ext>
                </c:extLst>
              </c15:ser>
            </c15:filteredLineSeries>
          </c:ext>
        </c:extLst>
      </c:lineChart>
      <c:catAx>
        <c:axId val="63827508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Domain</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286720"/>
        <c:crosses val="autoZero"/>
        <c:auto val="1"/>
        <c:lblAlgn val="ctr"/>
        <c:lblOffset val="100"/>
        <c:noMultiLvlLbl val="0"/>
      </c:catAx>
      <c:valAx>
        <c:axId val="471286720"/>
        <c:scaling>
          <c:orientation val="minMax"/>
          <c:max val="150"/>
          <c:min val="4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Index</a:t>
                </a:r>
                <a:r>
                  <a:rPr lang="en-GB" b="1" baseline="0"/>
                  <a:t> Score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275088"/>
        <c:crosses val="autoZero"/>
        <c:crossBetween val="between"/>
        <c:majorUnit val="5"/>
      </c:valAx>
      <c:spPr>
        <a:noFill/>
        <a:ln>
          <a:noFill/>
        </a:ln>
        <a:effectLst/>
      </c:spPr>
    </c:plotArea>
    <c:legend>
      <c:legendPos val="r"/>
      <c:layout>
        <c:manualLayout>
          <c:xMode val="edge"/>
          <c:yMode val="edge"/>
          <c:x val="0.75373329231915176"/>
          <c:y val="0.34862002726322566"/>
          <c:w val="0.23728601616760184"/>
          <c:h val="0.2921231171823482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TOMM Trial Performance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4"/>
          <c:order val="1"/>
          <c:tx>
            <c:strRef>
              <c:f>'Do Not Edit'!$A$172</c:f>
              <c:strCache>
                <c:ptCount val="1"/>
                <c:pt idx="0">
                  <c:v>Malingering</c:v>
                </c:pt>
              </c:strCache>
            </c:strRef>
          </c:tx>
          <c:spPr>
            <a:solidFill>
              <a:srgbClr val="FF5050">
                <a:alpha val="56000"/>
              </a:srgbClr>
            </a:solidFill>
            <a:ln>
              <a:noFill/>
            </a:ln>
            <a:effectLst/>
          </c:spPr>
          <c:cat>
            <c:strRef>
              <c:f>'Do Not Edit'!$B$167:$F$167</c:f>
              <c:strCache>
                <c:ptCount val="4"/>
                <c:pt idx="1">
                  <c:v>T1</c:v>
                </c:pt>
                <c:pt idx="2">
                  <c:v>T2</c:v>
                </c:pt>
                <c:pt idx="3">
                  <c:v>DR</c:v>
                </c:pt>
              </c:strCache>
            </c:strRef>
          </c:cat>
          <c:val>
            <c:numRef>
              <c:f>'Do Not Edit'!$B$172:$F$172</c:f>
              <c:numCache>
                <c:formatCode>General</c:formatCode>
                <c:ptCount val="5"/>
                <c:pt idx="0">
                  <c:v>17</c:v>
                </c:pt>
                <c:pt idx="1">
                  <c:v>17</c:v>
                </c:pt>
                <c:pt idx="2">
                  <c:v>17</c:v>
                </c:pt>
                <c:pt idx="3">
                  <c:v>17</c:v>
                </c:pt>
                <c:pt idx="4">
                  <c:v>17</c:v>
                </c:pt>
              </c:numCache>
            </c:numRef>
          </c:val>
          <c:extLst>
            <c:ext xmlns:c16="http://schemas.microsoft.com/office/drawing/2014/chart" uri="{C3380CC4-5D6E-409C-BE32-E72D297353CC}">
              <c16:uniqueId val="{00000000-5AF1-4E41-A875-E6DEE1564597}"/>
            </c:ext>
          </c:extLst>
        </c:ser>
        <c:ser>
          <c:idx val="3"/>
          <c:order val="2"/>
          <c:tx>
            <c:strRef>
              <c:f>'Do Not Edit'!$A$171</c:f>
              <c:strCache>
                <c:ptCount val="1"/>
                <c:pt idx="0">
                  <c:v>Chance Level Performance</c:v>
                </c:pt>
              </c:strCache>
            </c:strRef>
          </c:tx>
          <c:spPr>
            <a:solidFill>
              <a:srgbClr val="FFC000">
                <a:alpha val="60000"/>
              </a:srgbClr>
            </a:solidFill>
            <a:ln>
              <a:noFill/>
            </a:ln>
            <a:effectLst/>
          </c:spPr>
          <c:cat>
            <c:strRef>
              <c:f>'Do Not Edit'!$B$167:$F$167</c:f>
              <c:strCache>
                <c:ptCount val="4"/>
                <c:pt idx="1">
                  <c:v>T1</c:v>
                </c:pt>
                <c:pt idx="2">
                  <c:v>T2</c:v>
                </c:pt>
                <c:pt idx="3">
                  <c:v>DR</c:v>
                </c:pt>
              </c:strCache>
            </c:strRef>
          </c:cat>
          <c:val>
            <c:numRef>
              <c:f>'Do Not Edit'!$B$171:$F$171</c:f>
              <c:numCache>
                <c:formatCode>General</c:formatCode>
                <c:ptCount val="5"/>
                <c:pt idx="0">
                  <c:v>14</c:v>
                </c:pt>
                <c:pt idx="1">
                  <c:v>14</c:v>
                </c:pt>
                <c:pt idx="2">
                  <c:v>14</c:v>
                </c:pt>
                <c:pt idx="3">
                  <c:v>14</c:v>
                </c:pt>
                <c:pt idx="4">
                  <c:v>14</c:v>
                </c:pt>
              </c:numCache>
            </c:numRef>
          </c:val>
          <c:extLst>
            <c:ext xmlns:c16="http://schemas.microsoft.com/office/drawing/2014/chart" uri="{C3380CC4-5D6E-409C-BE32-E72D297353CC}">
              <c16:uniqueId val="{00000001-5AF1-4E41-A875-E6DEE1564597}"/>
            </c:ext>
          </c:extLst>
        </c:ser>
        <c:ser>
          <c:idx val="2"/>
          <c:order val="3"/>
          <c:tx>
            <c:strRef>
              <c:f>'Do Not Edit'!$A$170</c:f>
              <c:strCache>
                <c:ptCount val="1"/>
                <c:pt idx="0">
                  <c:v>Above Chance - Clinical Judgement</c:v>
                </c:pt>
              </c:strCache>
            </c:strRef>
          </c:tx>
          <c:spPr>
            <a:solidFill>
              <a:srgbClr val="F4EED6">
                <a:alpha val="75686"/>
              </a:srgbClr>
            </a:solidFill>
            <a:ln>
              <a:noFill/>
            </a:ln>
            <a:effectLst/>
          </c:spPr>
          <c:cat>
            <c:strRef>
              <c:f>'Do Not Edit'!$B$167:$F$167</c:f>
              <c:strCache>
                <c:ptCount val="4"/>
                <c:pt idx="1">
                  <c:v>T1</c:v>
                </c:pt>
                <c:pt idx="2">
                  <c:v>T2</c:v>
                </c:pt>
                <c:pt idx="3">
                  <c:v>DR</c:v>
                </c:pt>
              </c:strCache>
            </c:strRef>
          </c:cat>
          <c:val>
            <c:numRef>
              <c:f>'Do Not Edit'!$B$170:$F$170</c:f>
              <c:numCache>
                <c:formatCode>General</c:formatCode>
                <c:ptCount val="5"/>
                <c:pt idx="0">
                  <c:v>14</c:v>
                </c:pt>
                <c:pt idx="1">
                  <c:v>14</c:v>
                </c:pt>
                <c:pt idx="2">
                  <c:v>14</c:v>
                </c:pt>
                <c:pt idx="3">
                  <c:v>14</c:v>
                </c:pt>
                <c:pt idx="4">
                  <c:v>14</c:v>
                </c:pt>
              </c:numCache>
            </c:numRef>
          </c:val>
          <c:extLst>
            <c:ext xmlns:c16="http://schemas.microsoft.com/office/drawing/2014/chart" uri="{C3380CC4-5D6E-409C-BE32-E72D297353CC}">
              <c16:uniqueId val="{00000002-5AF1-4E41-A875-E6DEE1564597}"/>
            </c:ext>
          </c:extLst>
        </c:ser>
        <c:ser>
          <c:idx val="1"/>
          <c:order val="4"/>
          <c:tx>
            <c:strRef>
              <c:f>'Do Not Edit'!$A$169</c:f>
              <c:strCache>
                <c:ptCount val="1"/>
                <c:pt idx="0">
                  <c:v>Pass</c:v>
                </c:pt>
              </c:strCache>
            </c:strRef>
          </c:tx>
          <c:spPr>
            <a:solidFill>
              <a:schemeClr val="accent5">
                <a:lumMod val="40000"/>
                <a:lumOff val="60000"/>
                <a:alpha val="60000"/>
              </a:schemeClr>
            </a:solidFill>
            <a:ln>
              <a:noFill/>
            </a:ln>
            <a:effectLst/>
          </c:spPr>
          <c:cat>
            <c:strRef>
              <c:f>'Do Not Edit'!$B$167:$F$167</c:f>
              <c:strCache>
                <c:ptCount val="4"/>
                <c:pt idx="1">
                  <c:v>T1</c:v>
                </c:pt>
                <c:pt idx="2">
                  <c:v>T2</c:v>
                </c:pt>
                <c:pt idx="3">
                  <c:v>DR</c:v>
                </c:pt>
              </c:strCache>
            </c:strRef>
          </c:cat>
          <c:val>
            <c:numRef>
              <c:f>'Do Not Edit'!$B$169:$F$169</c:f>
              <c:numCache>
                <c:formatCode>General</c:formatCode>
                <c:ptCount val="5"/>
                <c:pt idx="0">
                  <c:v>5</c:v>
                </c:pt>
                <c:pt idx="1">
                  <c:v>5</c:v>
                </c:pt>
                <c:pt idx="2">
                  <c:v>5</c:v>
                </c:pt>
                <c:pt idx="3">
                  <c:v>5</c:v>
                </c:pt>
                <c:pt idx="4">
                  <c:v>5</c:v>
                </c:pt>
              </c:numCache>
            </c:numRef>
          </c:val>
          <c:extLst>
            <c:ext xmlns:c16="http://schemas.microsoft.com/office/drawing/2014/chart" uri="{C3380CC4-5D6E-409C-BE32-E72D297353CC}">
              <c16:uniqueId val="{00000003-5AF1-4E41-A875-E6DEE1564597}"/>
            </c:ext>
          </c:extLst>
        </c:ser>
        <c:dLbls>
          <c:showLegendKey val="0"/>
          <c:showVal val="0"/>
          <c:showCatName val="0"/>
          <c:showSerName val="0"/>
          <c:showPercent val="0"/>
          <c:showBubbleSize val="0"/>
        </c:dLbls>
        <c:axId val="493392576"/>
        <c:axId val="493393408"/>
      </c:areaChart>
      <c:lineChart>
        <c:grouping val="standard"/>
        <c:varyColors val="0"/>
        <c:ser>
          <c:idx val="0"/>
          <c:order val="0"/>
          <c:tx>
            <c:strRef>
              <c:f>'Do Not Edit'!$A$168</c:f>
              <c:strCache>
                <c:ptCount val="1"/>
                <c:pt idx="0">
                  <c:v>Patient</c:v>
                </c:pt>
              </c:strCache>
            </c:strRef>
          </c:tx>
          <c:spPr>
            <a:ln w="12700" cap="rnd">
              <a:solidFill>
                <a:schemeClr val="accent1"/>
              </a:solidFill>
              <a:prstDash val="dash"/>
              <a:round/>
            </a:ln>
            <a:effectLst/>
          </c:spPr>
          <c:marker>
            <c:symbol val="x"/>
            <c:size val="11"/>
            <c:spPr>
              <a:noFill/>
              <a:ln w="38100">
                <a:solidFill>
                  <a:schemeClr val="accent1"/>
                </a:solidFill>
              </a:ln>
              <a:effectLst/>
            </c:spPr>
          </c:marker>
          <c:cat>
            <c:strRef>
              <c:f>'Do Not Edit'!$B$167:$F$167</c:f>
              <c:strCache>
                <c:ptCount val="4"/>
                <c:pt idx="1">
                  <c:v>T1</c:v>
                </c:pt>
                <c:pt idx="2">
                  <c:v>T2</c:v>
                </c:pt>
                <c:pt idx="3">
                  <c:v>DR</c:v>
                </c:pt>
              </c:strCache>
            </c:strRef>
          </c:cat>
          <c:val>
            <c:numRef>
              <c:f>'Do Not Edit'!$B$168:$F$168</c:f>
              <c:numCache>
                <c:formatCode>General</c:formatCode>
                <c:ptCount val="5"/>
                <c:pt idx="1">
                  <c:v>0</c:v>
                </c:pt>
                <c:pt idx="2">
                  <c:v>0</c:v>
                </c:pt>
                <c:pt idx="3">
                  <c:v>0</c:v>
                </c:pt>
              </c:numCache>
            </c:numRef>
          </c:val>
          <c:smooth val="0"/>
          <c:extLst>
            <c:ext xmlns:c16="http://schemas.microsoft.com/office/drawing/2014/chart" uri="{C3380CC4-5D6E-409C-BE32-E72D297353CC}">
              <c16:uniqueId val="{00000004-5AF1-4E41-A875-E6DEE1564597}"/>
            </c:ext>
          </c:extLst>
        </c:ser>
        <c:dLbls>
          <c:showLegendKey val="0"/>
          <c:showVal val="0"/>
          <c:showCatName val="0"/>
          <c:showSerName val="0"/>
          <c:showPercent val="0"/>
          <c:showBubbleSize val="0"/>
        </c:dLbls>
        <c:marker val="1"/>
        <c:smooth val="0"/>
        <c:axId val="493392576"/>
        <c:axId val="493393408"/>
      </c:lineChart>
      <c:catAx>
        <c:axId val="493392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393408"/>
        <c:crosses val="autoZero"/>
        <c:auto val="1"/>
        <c:lblAlgn val="ctr"/>
        <c:lblOffset val="100"/>
        <c:noMultiLvlLbl val="0"/>
      </c:catAx>
      <c:valAx>
        <c:axId val="493393408"/>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392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MSVT Profiles</a:t>
            </a:r>
            <a:r>
              <a:rPr lang="en-GB" b="1" baseline="0"/>
              <a:t> with comparison to Simulators and Dementia Profiles</a:t>
            </a:r>
            <a:endParaRPr lang="en-GB" b="1"/>
          </a:p>
        </c:rich>
      </c:tx>
      <c:layout>
        <c:manualLayout>
          <c:xMode val="edge"/>
          <c:yMode val="edge"/>
          <c:x val="0.11040877534890456"/>
          <c:y val="1.578531965272296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0642441048351216E-2"/>
          <c:y val="9.7579584319915827E-2"/>
          <c:w val="0.57717080371523866"/>
          <c:h val="0.78560034968004688"/>
        </c:manualLayout>
      </c:layout>
      <c:areaChart>
        <c:grouping val="stacked"/>
        <c:varyColors val="0"/>
        <c:ser>
          <c:idx val="4"/>
          <c:order val="4"/>
          <c:tx>
            <c:strRef>
              <c:f>'Do Not Edit'!$A$161</c:f>
              <c:strCache>
                <c:ptCount val="1"/>
                <c:pt idx="0">
                  <c:v>Malingering Level Performance</c:v>
                </c:pt>
              </c:strCache>
            </c:strRef>
          </c:tx>
          <c:spPr>
            <a:solidFill>
              <a:srgbClr val="FF5050">
                <a:alpha val="78000"/>
              </a:srgbClr>
            </a:solidFill>
            <a:ln>
              <a:noFill/>
            </a:ln>
            <a:effectLst/>
          </c:spPr>
          <c:val>
            <c:numRef>
              <c:f>'Do Not Edit'!$C$161:$E$161</c:f>
              <c:numCache>
                <c:formatCode>General</c:formatCode>
                <c:ptCount val="3"/>
                <c:pt idx="0">
                  <c:v>30</c:v>
                </c:pt>
                <c:pt idx="1">
                  <c:v>30</c:v>
                </c:pt>
                <c:pt idx="2">
                  <c:v>30</c:v>
                </c:pt>
              </c:numCache>
            </c:numRef>
          </c:val>
          <c:extLst>
            <c:ext xmlns:c16="http://schemas.microsoft.com/office/drawing/2014/chart" uri="{C3380CC4-5D6E-409C-BE32-E72D297353CC}">
              <c16:uniqueId val="{00000000-22E0-4155-A8A7-9B2D9480CCFA}"/>
            </c:ext>
          </c:extLst>
        </c:ser>
        <c:ser>
          <c:idx val="5"/>
          <c:order val="5"/>
          <c:tx>
            <c:strRef>
              <c:f>'Do Not Edit'!$A$162</c:f>
              <c:strCache>
                <c:ptCount val="1"/>
                <c:pt idx="0">
                  <c:v>Total Dependence Level Performance</c:v>
                </c:pt>
              </c:strCache>
            </c:strRef>
          </c:tx>
          <c:spPr>
            <a:solidFill>
              <a:schemeClr val="accent2">
                <a:alpha val="71000"/>
              </a:schemeClr>
            </a:solidFill>
            <a:ln>
              <a:solidFill>
                <a:schemeClr val="tx1">
                  <a:lumMod val="15000"/>
                  <a:lumOff val="85000"/>
                  <a:alpha val="68000"/>
                </a:schemeClr>
              </a:solidFill>
            </a:ln>
            <a:effectLst/>
          </c:spPr>
          <c:val>
            <c:numRef>
              <c:f>'Do Not Edit'!$C$162:$E$162</c:f>
              <c:numCache>
                <c:formatCode>General</c:formatCode>
                <c:ptCount val="3"/>
                <c:pt idx="0">
                  <c:v>40</c:v>
                </c:pt>
                <c:pt idx="1">
                  <c:v>40</c:v>
                </c:pt>
                <c:pt idx="2">
                  <c:v>40</c:v>
                </c:pt>
              </c:numCache>
            </c:numRef>
          </c:val>
          <c:extLst>
            <c:ext xmlns:c16="http://schemas.microsoft.com/office/drawing/2014/chart" uri="{C3380CC4-5D6E-409C-BE32-E72D297353CC}">
              <c16:uniqueId val="{00000001-22E0-4155-A8A7-9B2D9480CCFA}"/>
            </c:ext>
          </c:extLst>
        </c:ser>
        <c:ser>
          <c:idx val="6"/>
          <c:order val="6"/>
          <c:tx>
            <c:strRef>
              <c:f>'Do Not Edit'!$A$163</c:f>
              <c:strCache>
                <c:ptCount val="1"/>
                <c:pt idx="0">
                  <c:v>Criterion A Fail</c:v>
                </c:pt>
              </c:strCache>
            </c:strRef>
          </c:tx>
          <c:spPr>
            <a:solidFill>
              <a:schemeClr val="accent4">
                <a:alpha val="42000"/>
              </a:schemeClr>
            </a:solidFill>
            <a:ln>
              <a:noFill/>
            </a:ln>
            <a:effectLst/>
          </c:spPr>
          <c:val>
            <c:numRef>
              <c:f>'Do Not Edit'!$C$163:$E$163</c:f>
              <c:numCache>
                <c:formatCode>General</c:formatCode>
                <c:ptCount val="3"/>
                <c:pt idx="0">
                  <c:v>14</c:v>
                </c:pt>
                <c:pt idx="1">
                  <c:v>14</c:v>
                </c:pt>
                <c:pt idx="2">
                  <c:v>14</c:v>
                </c:pt>
              </c:numCache>
            </c:numRef>
          </c:val>
          <c:extLst>
            <c:ext xmlns:c16="http://schemas.microsoft.com/office/drawing/2014/chart" uri="{C3380CC4-5D6E-409C-BE32-E72D297353CC}">
              <c16:uniqueId val="{00000002-22E0-4155-A8A7-9B2D9480CCFA}"/>
            </c:ext>
          </c:extLst>
        </c:ser>
        <c:dLbls>
          <c:showLegendKey val="0"/>
          <c:showVal val="0"/>
          <c:showCatName val="0"/>
          <c:showSerName val="0"/>
          <c:showPercent val="0"/>
          <c:showBubbleSize val="0"/>
        </c:dLbls>
        <c:axId val="631390016"/>
        <c:axId val="631386080"/>
      </c:areaChart>
      <c:lineChart>
        <c:grouping val="standard"/>
        <c:varyColors val="0"/>
        <c:ser>
          <c:idx val="0"/>
          <c:order val="0"/>
          <c:tx>
            <c:v>Patient</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'Do Not Edit'!$C$154:$G$154</c:f>
              <c:strCache>
                <c:ptCount val="5"/>
                <c:pt idx="0">
                  <c:v>IR</c:v>
                </c:pt>
                <c:pt idx="1">
                  <c:v>DR</c:v>
                </c:pt>
                <c:pt idx="2">
                  <c:v>CNS</c:v>
                </c:pt>
                <c:pt idx="3">
                  <c:v>PA</c:v>
                </c:pt>
                <c:pt idx="4">
                  <c:v>FR</c:v>
                </c:pt>
              </c:strCache>
            </c:strRef>
          </c:cat>
          <c:val>
            <c:numRef>
              <c:f>'Do Not Edit'!$C$156:$G$156</c:f>
              <c:numCache>
                <c:formatCode>General</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22E0-4155-A8A7-9B2D9480CCFA}"/>
            </c:ext>
          </c:extLst>
        </c:ser>
        <c:ser>
          <c:idx val="1"/>
          <c:order val="1"/>
          <c:tx>
            <c:v>Simulators</c:v>
          </c:tx>
          <c:spPr>
            <a:ln w="28575" cap="rnd">
              <a:solidFill>
                <a:srgbClr val="00B050"/>
              </a:solidFill>
              <a:prstDash val="sysDot"/>
              <a:round/>
            </a:ln>
            <a:effectLst/>
          </c:spPr>
          <c:marker>
            <c:symbol val="circle"/>
            <c:size val="5"/>
            <c:spPr>
              <a:solidFill>
                <a:schemeClr val="accent2"/>
              </a:solidFill>
              <a:ln w="9525">
                <a:solidFill>
                  <a:srgbClr val="00B050"/>
                </a:solidFill>
                <a:prstDash val="sysDot"/>
              </a:ln>
              <a:effectLst/>
            </c:spPr>
          </c:marker>
          <c:cat>
            <c:strRef>
              <c:f>'Do Not Edit'!$C$154:$G$154</c:f>
              <c:strCache>
                <c:ptCount val="5"/>
                <c:pt idx="0">
                  <c:v>IR</c:v>
                </c:pt>
                <c:pt idx="1">
                  <c:v>DR</c:v>
                </c:pt>
                <c:pt idx="2">
                  <c:v>CNS</c:v>
                </c:pt>
                <c:pt idx="3">
                  <c:v>PA</c:v>
                </c:pt>
                <c:pt idx="4">
                  <c:v>FR</c:v>
                </c:pt>
              </c:strCache>
            </c:strRef>
          </c:cat>
          <c:val>
            <c:numRef>
              <c:f>'Do Not Edit'!$C$157:$G$157</c:f>
              <c:numCache>
                <c:formatCode>General</c:formatCode>
                <c:ptCount val="5"/>
                <c:pt idx="0">
                  <c:v>60</c:v>
                </c:pt>
                <c:pt idx="1">
                  <c:v>60</c:v>
                </c:pt>
                <c:pt idx="2">
                  <c:v>49</c:v>
                </c:pt>
                <c:pt idx="3">
                  <c:v>51</c:v>
                </c:pt>
                <c:pt idx="4">
                  <c:v>37</c:v>
                </c:pt>
              </c:numCache>
            </c:numRef>
          </c:val>
          <c:smooth val="0"/>
          <c:extLst>
            <c:ext xmlns:c16="http://schemas.microsoft.com/office/drawing/2014/chart" uri="{C3380CC4-5D6E-409C-BE32-E72D297353CC}">
              <c16:uniqueId val="{00000004-22E0-4155-A8A7-9B2D9480CCFA}"/>
            </c:ext>
          </c:extLst>
        </c:ser>
        <c:ser>
          <c:idx val="2"/>
          <c:order val="2"/>
          <c:tx>
            <c:strRef>
              <c:f>'Do Not Edit'!$A$158</c:f>
              <c:strCache>
                <c:ptCount val="1"/>
                <c:pt idx="0">
                  <c:v>Advanced Dementia</c:v>
                </c:pt>
              </c:strCache>
            </c:strRef>
          </c:tx>
          <c:spPr>
            <a:ln w="28575" cap="rnd">
              <a:solidFill>
                <a:srgbClr val="FF0000"/>
              </a:solidFill>
              <a:prstDash val="sysDot"/>
              <a:round/>
            </a:ln>
            <a:effectLst/>
          </c:spPr>
          <c:marker>
            <c:symbol val="circle"/>
            <c:size val="5"/>
            <c:spPr>
              <a:solidFill>
                <a:schemeClr val="accent3"/>
              </a:solidFill>
              <a:ln w="9525">
                <a:solidFill>
                  <a:srgbClr val="FF0000"/>
                </a:solidFill>
                <a:prstDash val="sysDot"/>
              </a:ln>
              <a:effectLst/>
            </c:spPr>
          </c:marker>
          <c:cat>
            <c:strRef>
              <c:f>'Do Not Edit'!$C$154:$G$154</c:f>
              <c:strCache>
                <c:ptCount val="5"/>
                <c:pt idx="0">
                  <c:v>IR</c:v>
                </c:pt>
                <c:pt idx="1">
                  <c:v>DR</c:v>
                </c:pt>
                <c:pt idx="2">
                  <c:v>CNS</c:v>
                </c:pt>
                <c:pt idx="3">
                  <c:v>PA</c:v>
                </c:pt>
                <c:pt idx="4">
                  <c:v>FR</c:v>
                </c:pt>
              </c:strCache>
            </c:strRef>
          </c:cat>
          <c:val>
            <c:numRef>
              <c:f>'Do Not Edit'!$C$158:$G$158</c:f>
              <c:numCache>
                <c:formatCode>General</c:formatCode>
                <c:ptCount val="5"/>
                <c:pt idx="0">
                  <c:v>77</c:v>
                </c:pt>
                <c:pt idx="1">
                  <c:v>78</c:v>
                </c:pt>
                <c:pt idx="2">
                  <c:v>75</c:v>
                </c:pt>
                <c:pt idx="3">
                  <c:v>46</c:v>
                </c:pt>
                <c:pt idx="4">
                  <c:v>12</c:v>
                </c:pt>
              </c:numCache>
            </c:numRef>
          </c:val>
          <c:smooth val="0"/>
          <c:extLst>
            <c:ext xmlns:c16="http://schemas.microsoft.com/office/drawing/2014/chart" uri="{C3380CC4-5D6E-409C-BE32-E72D297353CC}">
              <c16:uniqueId val="{00000005-22E0-4155-A8A7-9B2D9480CCFA}"/>
            </c:ext>
          </c:extLst>
        </c:ser>
        <c:ser>
          <c:idx val="3"/>
          <c:order val="3"/>
          <c:tx>
            <c:strRef>
              <c:f>'Do Not Edit'!$A$159</c:f>
              <c:strCache>
                <c:ptCount val="1"/>
                <c:pt idx="0">
                  <c:v>Early Dementia</c:v>
                </c:pt>
              </c:strCache>
            </c:strRef>
          </c:tx>
          <c:spPr>
            <a:ln w="28575" cap="rnd">
              <a:solidFill>
                <a:schemeClr val="accent2">
                  <a:lumMod val="75000"/>
                </a:schemeClr>
              </a:solidFill>
              <a:prstDash val="sysDot"/>
              <a:round/>
            </a:ln>
            <a:effectLst/>
          </c:spPr>
          <c:marker>
            <c:symbol val="circle"/>
            <c:size val="5"/>
            <c:spPr>
              <a:solidFill>
                <a:schemeClr val="accent4"/>
              </a:solidFill>
              <a:ln w="9525">
                <a:solidFill>
                  <a:schemeClr val="accent2">
                    <a:lumMod val="75000"/>
                  </a:schemeClr>
                </a:solidFill>
                <a:prstDash val="sysDot"/>
              </a:ln>
              <a:effectLst/>
            </c:spPr>
          </c:marker>
          <c:cat>
            <c:strRef>
              <c:f>'Do Not Edit'!$C$154:$G$154</c:f>
              <c:strCache>
                <c:ptCount val="5"/>
                <c:pt idx="0">
                  <c:v>IR</c:v>
                </c:pt>
                <c:pt idx="1">
                  <c:v>DR</c:v>
                </c:pt>
                <c:pt idx="2">
                  <c:v>CNS</c:v>
                </c:pt>
                <c:pt idx="3">
                  <c:v>PA</c:v>
                </c:pt>
                <c:pt idx="4">
                  <c:v>FR</c:v>
                </c:pt>
              </c:strCache>
            </c:strRef>
          </c:cat>
          <c:val>
            <c:numRef>
              <c:f>'Do Not Edit'!$C$159:$G$159</c:f>
              <c:numCache>
                <c:formatCode>General</c:formatCode>
                <c:ptCount val="5"/>
                <c:pt idx="0">
                  <c:v>84</c:v>
                </c:pt>
                <c:pt idx="1">
                  <c:v>89</c:v>
                </c:pt>
                <c:pt idx="2">
                  <c:v>81</c:v>
                </c:pt>
                <c:pt idx="3">
                  <c:v>54</c:v>
                </c:pt>
                <c:pt idx="4">
                  <c:v>31</c:v>
                </c:pt>
              </c:numCache>
            </c:numRef>
          </c:val>
          <c:smooth val="0"/>
          <c:extLst>
            <c:ext xmlns:c16="http://schemas.microsoft.com/office/drawing/2014/chart" uri="{C3380CC4-5D6E-409C-BE32-E72D297353CC}">
              <c16:uniqueId val="{00000006-22E0-4155-A8A7-9B2D9480CCFA}"/>
            </c:ext>
          </c:extLst>
        </c:ser>
        <c:dLbls>
          <c:showLegendKey val="0"/>
          <c:showVal val="0"/>
          <c:showCatName val="0"/>
          <c:showSerName val="0"/>
          <c:showPercent val="0"/>
          <c:showBubbleSize val="0"/>
        </c:dLbls>
        <c:marker val="1"/>
        <c:smooth val="0"/>
        <c:axId val="631390016"/>
        <c:axId val="631386080"/>
      </c:lineChart>
      <c:catAx>
        <c:axId val="631390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Sub-Test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386080"/>
        <c:crosses val="autoZero"/>
        <c:auto val="1"/>
        <c:lblAlgn val="ctr"/>
        <c:lblOffset val="100"/>
        <c:noMultiLvlLbl val="0"/>
      </c:catAx>
      <c:valAx>
        <c:axId val="63138608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390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Scaled</a:t>
            </a:r>
            <a:r>
              <a:rPr lang="en-GB" b="1" baseline="0"/>
              <a:t> Scores </a:t>
            </a:r>
            <a:r>
              <a:rPr lang="en-GB" b="1"/>
              <a:t>DKEFS</a:t>
            </a:r>
            <a:r>
              <a:rPr lang="en-GB" b="1" baseline="0"/>
              <a:t> &amp; Hayling Performance vs Pre-Morbid Estimates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2928146723311607E-2"/>
          <c:y val="0.10031102096010819"/>
          <c:w val="0.7957415736038268"/>
          <c:h val="0.60331422061086182"/>
        </c:manualLayout>
      </c:layout>
      <c:areaChart>
        <c:grouping val="stacked"/>
        <c:varyColors val="0"/>
        <c:ser>
          <c:idx val="2"/>
          <c:order val="2"/>
          <c:tx>
            <c:strRef>
              <c:f>'Do Not Edit'!$C$72</c:f>
              <c:strCache>
                <c:ptCount val="1"/>
                <c:pt idx="0">
                  <c:v>Z=-1</c:v>
                </c:pt>
              </c:strCache>
            </c:strRef>
          </c:tx>
          <c:spPr>
            <a:noFill/>
            <a:ln w="25400">
              <a:noFill/>
            </a:ln>
            <a:effectLst/>
          </c:spPr>
          <c:val>
            <c:numRef>
              <c:f>'Do Not Edit'!$K$73:$K$92</c:f>
              <c:numCache>
                <c:formatCode>0.00</c:formatCode>
                <c:ptCount val="20"/>
                <c:pt idx="0">
                  <c:v>8</c:v>
                </c:pt>
                <c:pt idx="1">
                  <c:v>8</c:v>
                </c:pt>
                <c:pt idx="2">
                  <c:v>8</c:v>
                </c:pt>
                <c:pt idx="3">
                  <c:v>8</c:v>
                </c:pt>
                <c:pt idx="4">
                  <c:v>8</c:v>
                </c:pt>
                <c:pt idx="5">
                  <c:v>8</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numCache>
            </c:numRef>
          </c:val>
          <c:extLst>
            <c:ext xmlns:c16="http://schemas.microsoft.com/office/drawing/2014/chart" uri="{C3380CC4-5D6E-409C-BE32-E72D297353CC}">
              <c16:uniqueId val="{00000000-3ADA-4658-AC28-AA7275D79B87}"/>
            </c:ext>
          </c:extLst>
        </c:ser>
        <c:ser>
          <c:idx val="4"/>
          <c:order val="3"/>
          <c:tx>
            <c:v>Expected Performance Range</c:v>
          </c:tx>
          <c:spPr>
            <a:solidFill>
              <a:schemeClr val="accent6">
                <a:lumMod val="40000"/>
                <a:lumOff val="60000"/>
                <a:alpha val="74000"/>
              </a:schemeClr>
            </a:solidFill>
            <a:ln w="25400">
              <a:noFill/>
            </a:ln>
            <a:effectLst/>
          </c:spPr>
          <c:val>
            <c:numRef>
              <c:f>'Do Not Edit'!$M$73:$M$92</c:f>
              <c:numCache>
                <c:formatCode>General</c:formatCode>
                <c:ptCount val="20"/>
                <c:pt idx="0">
                  <c:v>6</c:v>
                </c:pt>
                <c:pt idx="1">
                  <c:v>6</c:v>
                </c:pt>
                <c:pt idx="2">
                  <c:v>6</c:v>
                </c:pt>
                <c:pt idx="3">
                  <c:v>6</c:v>
                </c:pt>
                <c:pt idx="4">
                  <c:v>6</c:v>
                </c:pt>
                <c:pt idx="5">
                  <c:v>6</c:v>
                </c:pt>
                <c:pt idx="6">
                  <c:v>6</c:v>
                </c:pt>
                <c:pt idx="7">
                  <c:v>6</c:v>
                </c:pt>
                <c:pt idx="8">
                  <c:v>6</c:v>
                </c:pt>
                <c:pt idx="9">
                  <c:v>6</c:v>
                </c:pt>
                <c:pt idx="10">
                  <c:v>6</c:v>
                </c:pt>
                <c:pt idx="11">
                  <c:v>6</c:v>
                </c:pt>
                <c:pt idx="12">
                  <c:v>6</c:v>
                </c:pt>
                <c:pt idx="13">
                  <c:v>6</c:v>
                </c:pt>
                <c:pt idx="14">
                  <c:v>6</c:v>
                </c:pt>
                <c:pt idx="15">
                  <c:v>6</c:v>
                </c:pt>
                <c:pt idx="16">
                  <c:v>6</c:v>
                </c:pt>
                <c:pt idx="17">
                  <c:v>6</c:v>
                </c:pt>
                <c:pt idx="18">
                  <c:v>6</c:v>
                </c:pt>
                <c:pt idx="19">
                  <c:v>6</c:v>
                </c:pt>
              </c:numCache>
            </c:numRef>
          </c:val>
          <c:extLst>
            <c:ext xmlns:c16="http://schemas.microsoft.com/office/drawing/2014/chart" uri="{C3380CC4-5D6E-409C-BE32-E72D297353CC}">
              <c16:uniqueId val="{00000001-3ADA-4658-AC28-AA7275D79B87}"/>
            </c:ext>
          </c:extLst>
        </c:ser>
        <c:dLbls>
          <c:showLegendKey val="0"/>
          <c:showVal val="0"/>
          <c:showCatName val="0"/>
          <c:showSerName val="0"/>
          <c:showPercent val="0"/>
          <c:showBubbleSize val="0"/>
        </c:dLbls>
        <c:axId val="480864928"/>
        <c:axId val="480865344"/>
      </c:areaChart>
      <c:barChart>
        <c:barDir val="col"/>
        <c:grouping val="clustered"/>
        <c:varyColors val="0"/>
        <c:ser>
          <c:idx val="0"/>
          <c:order val="0"/>
          <c:tx>
            <c:v>Executive Tests</c:v>
          </c:tx>
          <c:spPr>
            <a:solidFill>
              <a:schemeClr val="accent1"/>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22-3ADA-4658-AC28-AA7275D79B87}"/>
              </c:ext>
            </c:extLst>
          </c:dPt>
          <c:dPt>
            <c:idx val="1"/>
            <c:invertIfNegative val="0"/>
            <c:bubble3D val="0"/>
            <c:spPr>
              <a:solidFill>
                <a:schemeClr val="accent2"/>
              </a:solidFill>
              <a:ln>
                <a:noFill/>
              </a:ln>
              <a:effectLst/>
            </c:spPr>
            <c:extLst>
              <c:ext xmlns:c16="http://schemas.microsoft.com/office/drawing/2014/chart" uri="{C3380CC4-5D6E-409C-BE32-E72D297353CC}">
                <c16:uniqueId val="{00000023-3ADA-4658-AC28-AA7275D79B87}"/>
              </c:ext>
            </c:extLst>
          </c:dPt>
          <c:dPt>
            <c:idx val="2"/>
            <c:invertIfNegative val="0"/>
            <c:bubble3D val="0"/>
            <c:spPr>
              <a:solidFill>
                <a:schemeClr val="accent2"/>
              </a:solidFill>
              <a:ln>
                <a:noFill/>
              </a:ln>
              <a:effectLst/>
            </c:spPr>
            <c:extLst>
              <c:ext xmlns:c16="http://schemas.microsoft.com/office/drawing/2014/chart" uri="{C3380CC4-5D6E-409C-BE32-E72D297353CC}">
                <c16:uniqueId val="{00000024-3ADA-4658-AC28-AA7275D79B87}"/>
              </c:ext>
            </c:extLst>
          </c:dPt>
          <c:dPt>
            <c:idx val="3"/>
            <c:invertIfNegative val="0"/>
            <c:bubble3D val="0"/>
            <c:spPr>
              <a:solidFill>
                <a:schemeClr val="accent2"/>
              </a:solidFill>
              <a:ln>
                <a:noFill/>
              </a:ln>
              <a:effectLst/>
            </c:spPr>
            <c:extLst>
              <c:ext xmlns:c16="http://schemas.microsoft.com/office/drawing/2014/chart" uri="{C3380CC4-5D6E-409C-BE32-E72D297353CC}">
                <c16:uniqueId val="{00000025-3ADA-4658-AC28-AA7275D79B87}"/>
              </c:ext>
            </c:extLst>
          </c:dPt>
          <c:dPt>
            <c:idx val="4"/>
            <c:invertIfNegative val="0"/>
            <c:bubble3D val="0"/>
            <c:spPr>
              <a:solidFill>
                <a:schemeClr val="accent2"/>
              </a:solidFill>
              <a:ln>
                <a:noFill/>
              </a:ln>
              <a:effectLst/>
            </c:spPr>
            <c:extLst>
              <c:ext xmlns:c16="http://schemas.microsoft.com/office/drawing/2014/chart" uri="{C3380CC4-5D6E-409C-BE32-E72D297353CC}">
                <c16:uniqueId val="{00000026-3ADA-4658-AC28-AA7275D79B87}"/>
              </c:ext>
            </c:extLst>
          </c:dPt>
          <c:dPt>
            <c:idx val="9"/>
            <c:invertIfNegative val="0"/>
            <c:bubble3D val="0"/>
            <c:spPr>
              <a:solidFill>
                <a:srgbClr val="C00000"/>
              </a:solidFill>
              <a:ln>
                <a:noFill/>
              </a:ln>
              <a:effectLst/>
            </c:spPr>
            <c:extLst>
              <c:ext xmlns:c16="http://schemas.microsoft.com/office/drawing/2014/chart" uri="{C3380CC4-5D6E-409C-BE32-E72D297353CC}">
                <c16:uniqueId val="{00000027-3ADA-4658-AC28-AA7275D79B87}"/>
              </c:ext>
            </c:extLst>
          </c:dPt>
          <c:dPt>
            <c:idx val="10"/>
            <c:invertIfNegative val="0"/>
            <c:bubble3D val="0"/>
            <c:spPr>
              <a:solidFill>
                <a:srgbClr val="C00000"/>
              </a:solidFill>
              <a:ln>
                <a:noFill/>
              </a:ln>
              <a:effectLst/>
            </c:spPr>
            <c:extLst>
              <c:ext xmlns:c16="http://schemas.microsoft.com/office/drawing/2014/chart" uri="{C3380CC4-5D6E-409C-BE32-E72D297353CC}">
                <c16:uniqueId val="{00000028-3ADA-4658-AC28-AA7275D79B87}"/>
              </c:ext>
            </c:extLst>
          </c:dPt>
          <c:dPt>
            <c:idx val="11"/>
            <c:invertIfNegative val="0"/>
            <c:bubble3D val="0"/>
            <c:spPr>
              <a:solidFill>
                <a:srgbClr val="C00000"/>
              </a:solidFill>
              <a:ln>
                <a:noFill/>
              </a:ln>
              <a:effectLst/>
            </c:spPr>
            <c:extLst>
              <c:ext xmlns:c16="http://schemas.microsoft.com/office/drawing/2014/chart" uri="{C3380CC4-5D6E-409C-BE32-E72D297353CC}">
                <c16:uniqueId val="{00000029-3ADA-4658-AC28-AA7275D79B87}"/>
              </c:ext>
            </c:extLst>
          </c:dPt>
          <c:dPt>
            <c:idx val="12"/>
            <c:invertIfNegative val="0"/>
            <c:bubble3D val="0"/>
            <c:spPr>
              <a:solidFill>
                <a:srgbClr val="C00000"/>
              </a:solidFill>
              <a:ln>
                <a:noFill/>
              </a:ln>
              <a:effectLst/>
            </c:spPr>
            <c:extLst>
              <c:ext xmlns:c16="http://schemas.microsoft.com/office/drawing/2014/chart" uri="{C3380CC4-5D6E-409C-BE32-E72D297353CC}">
                <c16:uniqueId val="{0000002A-3ADA-4658-AC28-AA7275D79B87}"/>
              </c:ext>
            </c:extLst>
          </c:dPt>
          <c:dPt>
            <c:idx val="13"/>
            <c:invertIfNegative val="0"/>
            <c:bubble3D val="0"/>
            <c:spPr>
              <a:solidFill>
                <a:schemeClr val="accent6">
                  <a:lumMod val="75000"/>
                </a:schemeClr>
              </a:solidFill>
              <a:ln>
                <a:noFill/>
              </a:ln>
              <a:effectLst/>
            </c:spPr>
            <c:extLst>
              <c:ext xmlns:c16="http://schemas.microsoft.com/office/drawing/2014/chart" uri="{C3380CC4-5D6E-409C-BE32-E72D297353CC}">
                <c16:uniqueId val="{0000002B-3ADA-4658-AC28-AA7275D79B87}"/>
              </c:ext>
            </c:extLst>
          </c:dPt>
          <c:dPt>
            <c:idx val="14"/>
            <c:invertIfNegative val="0"/>
            <c:bubble3D val="0"/>
            <c:spPr>
              <a:solidFill>
                <a:schemeClr val="accent6">
                  <a:lumMod val="75000"/>
                </a:schemeClr>
              </a:solidFill>
              <a:ln>
                <a:noFill/>
              </a:ln>
              <a:effectLst/>
            </c:spPr>
            <c:extLst>
              <c:ext xmlns:c16="http://schemas.microsoft.com/office/drawing/2014/chart" uri="{C3380CC4-5D6E-409C-BE32-E72D297353CC}">
                <c16:uniqueId val="{0000002C-3ADA-4658-AC28-AA7275D79B87}"/>
              </c:ext>
            </c:extLst>
          </c:dPt>
          <c:dPt>
            <c:idx val="15"/>
            <c:invertIfNegative val="0"/>
            <c:bubble3D val="0"/>
            <c:spPr>
              <a:solidFill>
                <a:schemeClr val="accent6">
                  <a:lumMod val="75000"/>
                </a:schemeClr>
              </a:solidFill>
              <a:ln>
                <a:noFill/>
              </a:ln>
              <a:effectLst/>
            </c:spPr>
            <c:extLst>
              <c:ext xmlns:c16="http://schemas.microsoft.com/office/drawing/2014/chart" uri="{C3380CC4-5D6E-409C-BE32-E72D297353CC}">
                <c16:uniqueId val="{0000002D-3ADA-4658-AC28-AA7275D79B87}"/>
              </c:ext>
            </c:extLst>
          </c:dPt>
          <c:dPt>
            <c:idx val="16"/>
            <c:invertIfNegative val="0"/>
            <c:bubble3D val="0"/>
            <c:spPr>
              <a:solidFill>
                <a:srgbClr val="00B0F0"/>
              </a:solidFill>
              <a:ln>
                <a:noFill/>
              </a:ln>
              <a:effectLst/>
            </c:spPr>
            <c:extLst>
              <c:ext xmlns:c16="http://schemas.microsoft.com/office/drawing/2014/chart" uri="{C3380CC4-5D6E-409C-BE32-E72D297353CC}">
                <c16:uniqueId val="{0000002E-3ADA-4658-AC28-AA7275D79B87}"/>
              </c:ext>
            </c:extLst>
          </c:dPt>
          <c:dPt>
            <c:idx val="17"/>
            <c:invertIfNegative val="0"/>
            <c:bubble3D val="0"/>
            <c:spPr>
              <a:solidFill>
                <a:srgbClr val="00B0F0"/>
              </a:solidFill>
              <a:ln>
                <a:noFill/>
              </a:ln>
              <a:effectLst/>
            </c:spPr>
            <c:extLst>
              <c:ext xmlns:c16="http://schemas.microsoft.com/office/drawing/2014/chart" uri="{C3380CC4-5D6E-409C-BE32-E72D297353CC}">
                <c16:uniqueId val="{0000002F-3ADA-4658-AC28-AA7275D79B87}"/>
              </c:ext>
            </c:extLst>
          </c:dPt>
          <c:dPt>
            <c:idx val="18"/>
            <c:invertIfNegative val="0"/>
            <c:bubble3D val="0"/>
            <c:spPr>
              <a:solidFill>
                <a:srgbClr val="00B0F0"/>
              </a:solidFill>
              <a:ln>
                <a:noFill/>
              </a:ln>
              <a:effectLst/>
            </c:spPr>
            <c:extLst>
              <c:ext xmlns:c16="http://schemas.microsoft.com/office/drawing/2014/chart" uri="{C3380CC4-5D6E-409C-BE32-E72D297353CC}">
                <c16:uniqueId val="{00000030-3ADA-4658-AC28-AA7275D79B87}"/>
              </c:ext>
            </c:extLst>
          </c:dPt>
          <c:dPt>
            <c:idx val="19"/>
            <c:invertIfNegative val="0"/>
            <c:bubble3D val="0"/>
            <c:spPr>
              <a:solidFill>
                <a:srgbClr val="00B0F0"/>
              </a:solidFill>
              <a:ln>
                <a:noFill/>
              </a:ln>
              <a:effectLst/>
            </c:spPr>
            <c:extLst>
              <c:ext xmlns:c16="http://schemas.microsoft.com/office/drawing/2014/chart" uri="{C3380CC4-5D6E-409C-BE32-E72D297353CC}">
                <c16:uniqueId val="{00000031-3ADA-4658-AC28-AA7275D79B87}"/>
              </c:ext>
            </c:extLst>
          </c:dPt>
          <c:cat>
            <c:strRef>
              <c:f>'Do Not Edit'!$Q$72:$Q$91</c:f>
              <c:strCache>
                <c:ptCount val="20"/>
                <c:pt idx="0">
                  <c:v>Visual Scanning</c:v>
                </c:pt>
                <c:pt idx="1">
                  <c:v>Number Sequencing</c:v>
                </c:pt>
                <c:pt idx="2">
                  <c:v>Letter Sequencing</c:v>
                </c:pt>
                <c:pt idx="3">
                  <c:v>Number Letter Switching</c:v>
                </c:pt>
                <c:pt idx="4">
                  <c:v>Motor Speed</c:v>
                </c:pt>
                <c:pt idx="5">
                  <c:v>Phonemic Fluency</c:v>
                </c:pt>
                <c:pt idx="6">
                  <c:v>Semantic Fluency </c:v>
                </c:pt>
                <c:pt idx="7">
                  <c:v>Semantic Switching</c:v>
                </c:pt>
                <c:pt idx="8">
                  <c:v>Switching Accuracy</c:v>
                </c:pt>
                <c:pt idx="9">
                  <c:v>Colours</c:v>
                </c:pt>
                <c:pt idx="10">
                  <c:v>Words</c:v>
                </c:pt>
                <c:pt idx="11">
                  <c:v>Interference</c:v>
                </c:pt>
                <c:pt idx="12">
                  <c:v>Interference and Switched</c:v>
                </c:pt>
                <c:pt idx="13">
                  <c:v>Abstraction</c:v>
                </c:pt>
                <c:pt idx="14">
                  <c:v>Total Qs</c:v>
                </c:pt>
                <c:pt idx="15">
                  <c:v>Weight Ach</c:v>
                </c:pt>
                <c:pt idx="16">
                  <c:v>Sensible (Box A)</c:v>
                </c:pt>
                <c:pt idx="17">
                  <c:v>Unconnected (Box B)</c:v>
                </c:pt>
                <c:pt idx="18">
                  <c:v>Errors (Box C)</c:v>
                </c:pt>
                <c:pt idx="19">
                  <c:v>Hayling Score</c:v>
                </c:pt>
              </c:strCache>
            </c:strRef>
          </c:cat>
          <c:val>
            <c:numRef>
              <c:f>'Do Not Edit'!$R$72:$R$91</c:f>
              <c:numCache>
                <c:formatCode>General</c:formatCode>
                <c:ptCount val="20"/>
                <c:pt idx="0">
                  <c:v>19</c:v>
                </c:pt>
                <c:pt idx="1">
                  <c:v>19</c:v>
                </c:pt>
                <c:pt idx="2">
                  <c:v>18</c:v>
                </c:pt>
                <c:pt idx="3">
                  <c:v>18</c:v>
                </c:pt>
                <c:pt idx="4">
                  <c:v>16</c:v>
                </c:pt>
                <c:pt idx="5">
                  <c:v>1</c:v>
                </c:pt>
                <c:pt idx="6">
                  <c:v>1</c:v>
                </c:pt>
                <c:pt idx="7">
                  <c:v>1</c:v>
                </c:pt>
                <c:pt idx="8">
                  <c:v>1</c:v>
                </c:pt>
                <c:pt idx="9">
                  <c:v>0</c:v>
                </c:pt>
                <c:pt idx="10">
                  <c:v>0</c:v>
                </c:pt>
                <c:pt idx="11">
                  <c:v>0</c:v>
                </c:pt>
                <c:pt idx="12">
                  <c:v>0</c:v>
                </c:pt>
                <c:pt idx="13">
                  <c:v>0</c:v>
                </c:pt>
                <c:pt idx="14">
                  <c:v>0</c:v>
                </c:pt>
                <c:pt idx="15">
                  <c:v>0</c:v>
                </c:pt>
                <c:pt idx="16" formatCode="0">
                  <c:v>12</c:v>
                </c:pt>
                <c:pt idx="17" formatCode="0">
                  <c:v>13</c:v>
                </c:pt>
                <c:pt idx="18" formatCode="0">
                  <c:v>13</c:v>
                </c:pt>
                <c:pt idx="19" formatCode="0">
                  <c:v>16</c:v>
                </c:pt>
              </c:numCache>
            </c:numRef>
          </c:val>
          <c:extLst>
            <c:ext xmlns:c16="http://schemas.microsoft.com/office/drawing/2014/chart" uri="{C3380CC4-5D6E-409C-BE32-E72D297353CC}">
              <c16:uniqueId val="{00000020-3ADA-4658-AC28-AA7275D79B87}"/>
            </c:ext>
          </c:extLst>
        </c:ser>
        <c:dLbls>
          <c:showLegendKey val="0"/>
          <c:showVal val="0"/>
          <c:showCatName val="0"/>
          <c:showSerName val="0"/>
          <c:showPercent val="0"/>
          <c:showBubbleSize val="0"/>
        </c:dLbls>
        <c:gapWidth val="150"/>
        <c:axId val="480864928"/>
        <c:axId val="480865344"/>
      </c:barChart>
      <c:lineChart>
        <c:grouping val="standard"/>
        <c:varyColors val="0"/>
        <c:ser>
          <c:idx val="1"/>
          <c:order val="1"/>
          <c:tx>
            <c:strRef>
              <c:f>'Do Not Edit'!$B$72</c:f>
              <c:strCache>
                <c:ptCount val="1"/>
                <c:pt idx="0">
                  <c:v>z=-2</c:v>
                </c:pt>
              </c:strCache>
            </c:strRef>
          </c:tx>
          <c:spPr>
            <a:ln w="19050" cap="rnd">
              <a:solidFill>
                <a:srgbClr val="FF0000"/>
              </a:solidFill>
              <a:prstDash val="sysDash"/>
              <a:round/>
            </a:ln>
            <a:effectLst/>
          </c:spPr>
          <c:marker>
            <c:symbol val="none"/>
          </c:marker>
          <c:cat>
            <c:strRef>
              <c:f>('Standard Tests'!$A$30:$A$34,'Standard Tests'!$A$36:$A$39,'Standard Tests'!$A$41:$A$43,'Standard Tests'!$A$51)</c:f>
              <c:strCache>
                <c:ptCount val="13"/>
                <c:pt idx="0">
                  <c:v>Visual Scanning</c:v>
                </c:pt>
                <c:pt idx="1">
                  <c:v>Number Sequencing</c:v>
                </c:pt>
                <c:pt idx="2">
                  <c:v>Letter Sequencing</c:v>
                </c:pt>
                <c:pt idx="3">
                  <c:v>Number Letter Switching</c:v>
                </c:pt>
                <c:pt idx="4">
                  <c:v>Motor Speed</c:v>
                </c:pt>
                <c:pt idx="5">
                  <c:v>Phonemic Fluency</c:v>
                </c:pt>
                <c:pt idx="6">
                  <c:v>Semantic Fluency </c:v>
                </c:pt>
                <c:pt idx="7">
                  <c:v>Semantic Switching</c:v>
                </c:pt>
                <c:pt idx="8">
                  <c:v>Switching Accuracy</c:v>
                </c:pt>
                <c:pt idx="9">
                  <c:v>Sensible (Box A)</c:v>
                </c:pt>
                <c:pt idx="10">
                  <c:v>Unconnected (Box B)</c:v>
                </c:pt>
                <c:pt idx="11">
                  <c:v>Errors (Box C)</c:v>
                </c:pt>
                <c:pt idx="12">
                  <c:v>Overall Scaled Score</c:v>
                </c:pt>
              </c:strCache>
            </c:strRef>
          </c:cat>
          <c:val>
            <c:numRef>
              <c:f>'Do Not Edit'!$J$73:$J$92</c:f>
              <c:numCache>
                <c:formatCode>0.00</c:formatCode>
                <c:ptCount val="20"/>
                <c:pt idx="0">
                  <c:v>5</c:v>
                </c:pt>
                <c:pt idx="1">
                  <c:v>5</c:v>
                </c:pt>
                <c:pt idx="2">
                  <c:v>5</c:v>
                </c:pt>
                <c:pt idx="3">
                  <c:v>5</c:v>
                </c:pt>
                <c:pt idx="4">
                  <c:v>5</c:v>
                </c:pt>
                <c:pt idx="5">
                  <c:v>5</c:v>
                </c:pt>
                <c:pt idx="6">
                  <c:v>5</c:v>
                </c:pt>
                <c:pt idx="7">
                  <c:v>5</c:v>
                </c:pt>
                <c:pt idx="8">
                  <c:v>5</c:v>
                </c:pt>
                <c:pt idx="9">
                  <c:v>5</c:v>
                </c:pt>
                <c:pt idx="10">
                  <c:v>5</c:v>
                </c:pt>
                <c:pt idx="11">
                  <c:v>5</c:v>
                </c:pt>
                <c:pt idx="12">
                  <c:v>5</c:v>
                </c:pt>
                <c:pt idx="13">
                  <c:v>5</c:v>
                </c:pt>
                <c:pt idx="14">
                  <c:v>5</c:v>
                </c:pt>
                <c:pt idx="15">
                  <c:v>5</c:v>
                </c:pt>
                <c:pt idx="16">
                  <c:v>5</c:v>
                </c:pt>
                <c:pt idx="17">
                  <c:v>5</c:v>
                </c:pt>
                <c:pt idx="18">
                  <c:v>5</c:v>
                </c:pt>
                <c:pt idx="19">
                  <c:v>5</c:v>
                </c:pt>
              </c:numCache>
            </c:numRef>
          </c:val>
          <c:smooth val="0"/>
          <c:extLst>
            <c:ext xmlns:c16="http://schemas.microsoft.com/office/drawing/2014/chart" uri="{C3380CC4-5D6E-409C-BE32-E72D297353CC}">
              <c16:uniqueId val="{0000001D-3ADA-4658-AC28-AA7275D79B87}"/>
            </c:ext>
          </c:extLst>
        </c:ser>
        <c:ser>
          <c:idx val="5"/>
          <c:order val="4"/>
          <c:tx>
            <c:v>z=-1.5</c:v>
          </c:tx>
          <c:spPr>
            <a:ln w="19050" cap="rnd">
              <a:solidFill>
                <a:schemeClr val="accent2"/>
              </a:solidFill>
              <a:prstDash val="sysDash"/>
              <a:round/>
            </a:ln>
            <a:effectLst/>
          </c:spPr>
          <c:marker>
            <c:symbol val="none"/>
          </c:marker>
          <c:cat>
            <c:strRef>
              <c:f>('Standard Tests'!$A$30:$A$34,'Standard Tests'!$A$36:$A$39,'Standard Tests'!$A$41:$A$43,'Standard Tests'!$A$51)</c:f>
              <c:strCache>
                <c:ptCount val="13"/>
                <c:pt idx="0">
                  <c:v>Visual Scanning</c:v>
                </c:pt>
                <c:pt idx="1">
                  <c:v>Number Sequencing</c:v>
                </c:pt>
                <c:pt idx="2">
                  <c:v>Letter Sequencing</c:v>
                </c:pt>
                <c:pt idx="3">
                  <c:v>Number Letter Switching</c:v>
                </c:pt>
                <c:pt idx="4">
                  <c:v>Motor Speed</c:v>
                </c:pt>
                <c:pt idx="5">
                  <c:v>Phonemic Fluency</c:v>
                </c:pt>
                <c:pt idx="6">
                  <c:v>Semantic Fluency </c:v>
                </c:pt>
                <c:pt idx="7">
                  <c:v>Semantic Switching</c:v>
                </c:pt>
                <c:pt idx="8">
                  <c:v>Switching Accuracy</c:v>
                </c:pt>
                <c:pt idx="9">
                  <c:v>Sensible (Box A)</c:v>
                </c:pt>
                <c:pt idx="10">
                  <c:v>Unconnected (Box B)</c:v>
                </c:pt>
                <c:pt idx="11">
                  <c:v>Errors (Box C)</c:v>
                </c:pt>
                <c:pt idx="12">
                  <c:v>Overall Scaled Score</c:v>
                </c:pt>
              </c:strCache>
            </c:strRef>
          </c:cat>
          <c:val>
            <c:numRef>
              <c:f>'Do Not Edit'!$N$73:$N$92</c:f>
              <c:numCache>
                <c:formatCode>0.00</c:formatCode>
                <c:ptCount val="20"/>
                <c:pt idx="0">
                  <c:v>6.5</c:v>
                </c:pt>
                <c:pt idx="1">
                  <c:v>6.5</c:v>
                </c:pt>
                <c:pt idx="2">
                  <c:v>6.5</c:v>
                </c:pt>
                <c:pt idx="3">
                  <c:v>6.5</c:v>
                </c:pt>
                <c:pt idx="4">
                  <c:v>6.5</c:v>
                </c:pt>
                <c:pt idx="5">
                  <c:v>6.5</c:v>
                </c:pt>
                <c:pt idx="6">
                  <c:v>6.5</c:v>
                </c:pt>
                <c:pt idx="7">
                  <c:v>6.5</c:v>
                </c:pt>
                <c:pt idx="8">
                  <c:v>6.5</c:v>
                </c:pt>
                <c:pt idx="9">
                  <c:v>6.5</c:v>
                </c:pt>
                <c:pt idx="10">
                  <c:v>6.5</c:v>
                </c:pt>
                <c:pt idx="11">
                  <c:v>6.5</c:v>
                </c:pt>
                <c:pt idx="12">
                  <c:v>6.5</c:v>
                </c:pt>
                <c:pt idx="13">
                  <c:v>6.5</c:v>
                </c:pt>
                <c:pt idx="14">
                  <c:v>6.5</c:v>
                </c:pt>
                <c:pt idx="15">
                  <c:v>6.5</c:v>
                </c:pt>
                <c:pt idx="16">
                  <c:v>6.5</c:v>
                </c:pt>
                <c:pt idx="17">
                  <c:v>6.5</c:v>
                </c:pt>
                <c:pt idx="18">
                  <c:v>6.5</c:v>
                </c:pt>
                <c:pt idx="19">
                  <c:v>6.5</c:v>
                </c:pt>
              </c:numCache>
            </c:numRef>
          </c:val>
          <c:smooth val="0"/>
          <c:extLst>
            <c:ext xmlns:c16="http://schemas.microsoft.com/office/drawing/2014/chart" uri="{C3380CC4-5D6E-409C-BE32-E72D297353CC}">
              <c16:uniqueId val="{0000001F-3ADA-4658-AC28-AA7275D79B87}"/>
            </c:ext>
          </c:extLst>
        </c:ser>
        <c:dLbls>
          <c:showLegendKey val="0"/>
          <c:showVal val="0"/>
          <c:showCatName val="0"/>
          <c:showSerName val="0"/>
          <c:showPercent val="0"/>
          <c:showBubbleSize val="0"/>
        </c:dLbls>
        <c:marker val="1"/>
        <c:smooth val="0"/>
        <c:axId val="480864928"/>
        <c:axId val="480865344"/>
      </c:lineChart>
      <c:catAx>
        <c:axId val="4808649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D-KEFS Trails</a:t>
                </a:r>
                <a:r>
                  <a:rPr lang="en-GB" b="1" baseline="0"/>
                  <a:t>                                         D-KEFS Fluency                                   D-KEFS Colour/Word                       D-KEFS 20Qs                                     Hayling</a:t>
                </a:r>
                <a:endParaRPr lang="en-GB" b="1"/>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865344"/>
        <c:crosses val="autoZero"/>
        <c:auto val="1"/>
        <c:lblAlgn val="ctr"/>
        <c:lblOffset val="100"/>
        <c:noMultiLvlLbl val="0"/>
      </c:catAx>
      <c:valAx>
        <c:axId val="480865344"/>
        <c:scaling>
          <c:orientation val="minMax"/>
          <c:max val="19"/>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Weschler Scaled Score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864928"/>
        <c:crosses val="autoZero"/>
        <c:crossBetween val="between"/>
        <c:majorUnit val="1"/>
      </c:valAx>
      <c:spPr>
        <a:noFill/>
        <a:ln>
          <a:noFill/>
        </a:ln>
        <a:effectLst/>
      </c:spPr>
    </c:plotArea>
    <c:legend>
      <c:legendPos val="r"/>
      <c:legendEntry>
        <c:idx val="1"/>
        <c:delete val="1"/>
      </c:legendEntry>
      <c:legendEntry>
        <c:idx val="2"/>
        <c:delete val="1"/>
      </c:legendEntry>
      <c:layout>
        <c:manualLayout>
          <c:xMode val="edge"/>
          <c:yMode val="edge"/>
          <c:x val="0.86507276660716181"/>
          <c:y val="0.36945861483338921"/>
          <c:w val="0.12789735641568531"/>
          <c:h val="0.234280877162160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Scaled</a:t>
            </a:r>
            <a:r>
              <a:rPr lang="en-GB" b="1" baseline="0"/>
              <a:t> Scores </a:t>
            </a:r>
            <a:r>
              <a:rPr lang="en-GB" b="1"/>
              <a:t>RBANS</a:t>
            </a:r>
            <a:r>
              <a:rPr lang="en-GB" b="1" baseline="0"/>
              <a:t> vs Pre-Morbid Estimate (FSIQ)</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2928146723311607E-2"/>
          <c:y val="0.10031102096010819"/>
          <c:w val="0.7957415736038268"/>
          <c:h val="0.60331422061086182"/>
        </c:manualLayout>
      </c:layout>
      <c:areaChart>
        <c:grouping val="stacked"/>
        <c:varyColors val="0"/>
        <c:ser>
          <c:idx val="2"/>
          <c:order val="1"/>
          <c:tx>
            <c:strRef>
              <c:f>'Do Not Edit'!$C$72</c:f>
              <c:strCache>
                <c:ptCount val="1"/>
                <c:pt idx="0">
                  <c:v>Z=-1</c:v>
                </c:pt>
              </c:strCache>
            </c:strRef>
          </c:tx>
          <c:spPr>
            <a:noFill/>
            <a:ln w="25400">
              <a:noFill/>
            </a:ln>
            <a:effectLst/>
          </c:spPr>
          <c:cat>
            <c:strLit>
              <c:ptCount val="8"/>
              <c:pt idx="0">
                <c:v>List Learning</c:v>
              </c:pt>
              <c:pt idx="1">
                <c:v>Story Memory</c:v>
              </c:pt>
              <c:pt idx="2">
                <c:v>Figure Copy</c:v>
              </c:pt>
              <c:pt idx="3">
                <c:v>Semantic Fluency</c:v>
              </c:pt>
              <c:pt idx="4">
                <c:v>Digit Span</c:v>
              </c:pt>
              <c:pt idx="5">
                <c:v>Coding</c:v>
              </c:pt>
              <c:pt idx="6">
                <c:v>Story Recall</c:v>
              </c:pt>
              <c:pt idx="7">
                <c:v>Figure Recall </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'Do Not Edit'!$K$73:$K$92</c15:sqref>
                  </c15:fullRef>
                </c:ext>
              </c:extLst>
              <c:f>'Do Not Edit'!$K$73:$K$80</c:f>
              <c:numCache>
                <c:formatCode>0.00</c:formatCode>
                <c:ptCount val="8"/>
                <c:pt idx="0">
                  <c:v>8</c:v>
                </c:pt>
                <c:pt idx="1">
                  <c:v>8</c:v>
                </c:pt>
                <c:pt idx="2">
                  <c:v>8</c:v>
                </c:pt>
                <c:pt idx="3">
                  <c:v>8</c:v>
                </c:pt>
                <c:pt idx="4">
                  <c:v>8</c:v>
                </c:pt>
                <c:pt idx="5">
                  <c:v>8</c:v>
                </c:pt>
                <c:pt idx="6">
                  <c:v>8</c:v>
                </c:pt>
                <c:pt idx="7">
                  <c:v>8</c:v>
                </c:pt>
              </c:numCache>
            </c:numRef>
          </c:val>
          <c:extLst>
            <c:ext xmlns:c16="http://schemas.microsoft.com/office/drawing/2014/chart" uri="{C3380CC4-5D6E-409C-BE32-E72D297353CC}">
              <c16:uniqueId val="{00000000-9561-4590-9687-D94DE10A504E}"/>
            </c:ext>
          </c:extLst>
        </c:ser>
        <c:ser>
          <c:idx val="4"/>
          <c:order val="2"/>
          <c:tx>
            <c:v>Expected Performance Range</c:v>
          </c:tx>
          <c:spPr>
            <a:solidFill>
              <a:schemeClr val="accent6">
                <a:lumMod val="40000"/>
                <a:lumOff val="60000"/>
                <a:alpha val="74000"/>
              </a:schemeClr>
            </a:solidFill>
            <a:ln w="25400">
              <a:noFill/>
            </a:ln>
            <a:effectLst/>
          </c:spPr>
          <c:cat>
            <c:strLit>
              <c:ptCount val="8"/>
              <c:pt idx="0">
                <c:v>List Learning</c:v>
              </c:pt>
              <c:pt idx="1">
                <c:v>Story Memory</c:v>
              </c:pt>
              <c:pt idx="2">
                <c:v>Figure Copy</c:v>
              </c:pt>
              <c:pt idx="3">
                <c:v>Semantic Fluency</c:v>
              </c:pt>
              <c:pt idx="4">
                <c:v>Digit Span</c:v>
              </c:pt>
              <c:pt idx="5">
                <c:v>Coding</c:v>
              </c:pt>
              <c:pt idx="6">
                <c:v>Story Recall</c:v>
              </c:pt>
              <c:pt idx="7">
                <c:v>Figure Recall </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'Do Not Edit'!$M$73:$M$92</c15:sqref>
                  </c15:fullRef>
                </c:ext>
              </c:extLst>
              <c:f>'Do Not Edit'!$M$73:$M$80</c:f>
              <c:numCache>
                <c:formatCode>General</c:formatCode>
                <c:ptCount val="8"/>
                <c:pt idx="0">
                  <c:v>6</c:v>
                </c:pt>
                <c:pt idx="1">
                  <c:v>6</c:v>
                </c:pt>
                <c:pt idx="2">
                  <c:v>6</c:v>
                </c:pt>
                <c:pt idx="3">
                  <c:v>6</c:v>
                </c:pt>
                <c:pt idx="4">
                  <c:v>6</c:v>
                </c:pt>
                <c:pt idx="5">
                  <c:v>6</c:v>
                </c:pt>
                <c:pt idx="6">
                  <c:v>6</c:v>
                </c:pt>
                <c:pt idx="7">
                  <c:v>6</c:v>
                </c:pt>
              </c:numCache>
            </c:numRef>
          </c:val>
          <c:extLst>
            <c:ext xmlns:c16="http://schemas.microsoft.com/office/drawing/2014/chart" uri="{C3380CC4-5D6E-409C-BE32-E72D297353CC}">
              <c16:uniqueId val="{00000001-9561-4590-9687-D94DE10A504E}"/>
            </c:ext>
          </c:extLst>
        </c:ser>
        <c:dLbls>
          <c:showLegendKey val="0"/>
          <c:showVal val="0"/>
          <c:showCatName val="0"/>
          <c:showSerName val="0"/>
          <c:showPercent val="0"/>
          <c:showBubbleSize val="0"/>
        </c:dLbls>
        <c:axId val="480864928"/>
        <c:axId val="480865344"/>
      </c:areaChart>
      <c:barChart>
        <c:barDir val="col"/>
        <c:grouping val="clustered"/>
        <c:varyColors val="0"/>
        <c:ser>
          <c:idx val="0"/>
          <c:order val="4"/>
          <c:tx>
            <c:v>RBANS</c:v>
          </c:tx>
          <c:spPr>
            <a:solidFill>
              <a:schemeClr val="accent1"/>
            </a:solidFill>
            <a:ln>
              <a:noFill/>
            </a:ln>
            <a:effectLst/>
          </c:spPr>
          <c:invertIfNegative val="0"/>
          <c:cat>
            <c:strRef>
              <c:extLst>
                <c:ext xmlns:c15="http://schemas.microsoft.com/office/drawing/2012/chart" uri="{02D57815-91ED-43cb-92C2-25804820EDAC}">
                  <c15:fullRef>
                    <c15:sqref>('Standard Tests'!$A$10:$A$12,'Standard Tests'!$A$15:$A$17,'Standard Tests'!$A$20:$A$21)</c15:sqref>
                  </c15:fullRef>
                </c:ext>
              </c:extLst>
              <c:f>('Standard Tests'!$A$10:$A$12,'Standard Tests'!$A$15:$A$17,'Standard Tests'!$A$20:$A$21)</c:f>
              <c:strCache>
                <c:ptCount val="8"/>
                <c:pt idx="0">
                  <c:v>List Learning</c:v>
                </c:pt>
                <c:pt idx="1">
                  <c:v>Story Memory</c:v>
                </c:pt>
                <c:pt idx="2">
                  <c:v>Figure Copy</c:v>
                </c:pt>
                <c:pt idx="3">
                  <c:v>Semantic Fluency</c:v>
                </c:pt>
                <c:pt idx="4">
                  <c:v>Digit Span</c:v>
                </c:pt>
                <c:pt idx="5">
                  <c:v>Coding</c:v>
                </c:pt>
                <c:pt idx="6">
                  <c:v>Story Recall</c:v>
                </c:pt>
                <c:pt idx="7">
                  <c:v>Figure Recall </c:v>
                </c:pt>
              </c:strCache>
            </c:strRef>
          </c:cat>
          <c:val>
            <c:numRef>
              <c:extLst>
                <c:ext xmlns:c15="http://schemas.microsoft.com/office/drawing/2012/chart" uri="{02D57815-91ED-43cb-92C2-25804820EDAC}">
                  <c15:fullRef>
                    <c15:sqref>('Standard Tests'!$C$10:$C$12,'Standard Tests'!$C$15:$C$17,'Standard Tests'!$C$20:$C$21)</c15:sqref>
                  </c15:fullRef>
                </c:ext>
              </c:extLst>
              <c:f>('Standard Tests'!$C$10:$C$12,'Standard Tests'!$C$15:$C$17,'Standard Tests'!$C$20:$C$21)</c:f>
              <c:numCache>
                <c:formatCode>General</c:formatCode>
                <c:ptCount val="8"/>
                <c:pt idx="0">
                  <c:v>12</c:v>
                </c:pt>
                <c:pt idx="1">
                  <c:v>9</c:v>
                </c:pt>
                <c:pt idx="2">
                  <c:v>1</c:v>
                </c:pt>
                <c:pt idx="3">
                  <c:v>7</c:v>
                </c:pt>
                <c:pt idx="4">
                  <c:v>2</c:v>
                </c:pt>
                <c:pt idx="5">
                  <c:v>7</c:v>
                </c:pt>
                <c:pt idx="6">
                  <c:v>9</c:v>
                </c:pt>
                <c:pt idx="7">
                  <c:v>8</c:v>
                </c:pt>
              </c:numCache>
            </c:numRef>
          </c:val>
          <c:extLst>
            <c:ext xmlns:c16="http://schemas.microsoft.com/office/drawing/2014/chart" uri="{C3380CC4-5D6E-409C-BE32-E72D297353CC}">
              <c16:uniqueId val="{00000025-9561-4590-9687-D94DE10A504E}"/>
            </c:ext>
          </c:extLst>
        </c:ser>
        <c:dLbls>
          <c:showLegendKey val="0"/>
          <c:showVal val="0"/>
          <c:showCatName val="0"/>
          <c:showSerName val="0"/>
          <c:showPercent val="0"/>
          <c:showBubbleSize val="0"/>
        </c:dLbls>
        <c:gapWidth val="150"/>
        <c:axId val="480864928"/>
        <c:axId val="480865344"/>
      </c:barChart>
      <c:lineChart>
        <c:grouping val="standard"/>
        <c:varyColors val="0"/>
        <c:ser>
          <c:idx val="1"/>
          <c:order val="0"/>
          <c:tx>
            <c:strRef>
              <c:f>'Do Not Edit'!$B$72</c:f>
              <c:strCache>
                <c:ptCount val="1"/>
                <c:pt idx="0">
                  <c:v>z=-2</c:v>
                </c:pt>
              </c:strCache>
            </c:strRef>
          </c:tx>
          <c:spPr>
            <a:ln w="19050" cap="rnd">
              <a:solidFill>
                <a:srgbClr val="FF0000"/>
              </a:solidFill>
              <a:prstDash val="sysDash"/>
              <a:round/>
            </a:ln>
            <a:effectLst/>
          </c:spPr>
          <c:marker>
            <c:symbol val="none"/>
          </c:marker>
          <c:cat>
            <c:strRef>
              <c:extLst>
                <c:ext xmlns:c15="http://schemas.microsoft.com/office/drawing/2012/chart" uri="{02D57815-91ED-43cb-92C2-25804820EDAC}">
                  <c15:fullRef>
                    <c15:sqref>('Standard Tests'!$A$10:$A$12,'Standard Tests'!$A$15:$A$17,'Standard Tests'!$A$20:$A$21)</c15:sqref>
                  </c15:fullRef>
                </c:ext>
              </c:extLst>
              <c:f>('Standard Tests'!$A$10:$A$12,'Standard Tests'!$A$15:$A$17,'Standard Tests'!$A$20:$A$21)</c:f>
              <c:strCache>
                <c:ptCount val="8"/>
                <c:pt idx="0">
                  <c:v>List Learning</c:v>
                </c:pt>
                <c:pt idx="1">
                  <c:v>Story Memory</c:v>
                </c:pt>
                <c:pt idx="2">
                  <c:v>Figure Copy</c:v>
                </c:pt>
                <c:pt idx="3">
                  <c:v>Semantic Fluency</c:v>
                </c:pt>
                <c:pt idx="4">
                  <c:v>Digit Span</c:v>
                </c:pt>
                <c:pt idx="5">
                  <c:v>Coding</c:v>
                </c:pt>
                <c:pt idx="6">
                  <c:v>Story Recall</c:v>
                </c:pt>
                <c:pt idx="7">
                  <c:v>Figure Recall </c:v>
                </c:pt>
              </c:strCache>
            </c:strRef>
          </c:cat>
          <c:val>
            <c:numRef>
              <c:extLst>
                <c:ext xmlns:c15="http://schemas.microsoft.com/office/drawing/2012/chart" uri="{02D57815-91ED-43cb-92C2-25804820EDAC}">
                  <c15:fullRef>
                    <c15:sqref>'Do Not Edit'!$J$73:$J$92</c15:sqref>
                  </c15:fullRef>
                </c:ext>
              </c:extLst>
              <c:f>'Do Not Edit'!$J$73:$J$80</c:f>
              <c:numCache>
                <c:formatCode>0.00</c:formatCode>
                <c:ptCount val="8"/>
                <c:pt idx="0">
                  <c:v>5</c:v>
                </c:pt>
                <c:pt idx="1">
                  <c:v>5</c:v>
                </c:pt>
                <c:pt idx="2">
                  <c:v>5</c:v>
                </c:pt>
                <c:pt idx="3">
                  <c:v>5</c:v>
                </c:pt>
                <c:pt idx="4">
                  <c:v>5</c:v>
                </c:pt>
                <c:pt idx="5">
                  <c:v>5</c:v>
                </c:pt>
                <c:pt idx="6">
                  <c:v>5</c:v>
                </c:pt>
                <c:pt idx="7">
                  <c:v>5</c:v>
                </c:pt>
              </c:numCache>
            </c:numRef>
          </c:val>
          <c:smooth val="0"/>
          <c:extLst>
            <c:ext xmlns:c16="http://schemas.microsoft.com/office/drawing/2014/chart" uri="{C3380CC4-5D6E-409C-BE32-E72D297353CC}">
              <c16:uniqueId val="{00000023-9561-4590-9687-D94DE10A504E}"/>
            </c:ext>
          </c:extLst>
        </c:ser>
        <c:ser>
          <c:idx val="5"/>
          <c:order val="3"/>
          <c:tx>
            <c:v>z=-1.5</c:v>
          </c:tx>
          <c:spPr>
            <a:ln w="19050" cap="rnd">
              <a:solidFill>
                <a:schemeClr val="accent2"/>
              </a:solidFill>
              <a:prstDash val="sysDash"/>
              <a:round/>
            </a:ln>
            <a:effectLst/>
          </c:spPr>
          <c:marker>
            <c:symbol val="none"/>
          </c:marker>
          <c:cat>
            <c:strRef>
              <c:extLst>
                <c:ext xmlns:c15="http://schemas.microsoft.com/office/drawing/2012/chart" uri="{02D57815-91ED-43cb-92C2-25804820EDAC}">
                  <c15:fullRef>
                    <c15:sqref>('Standard Tests'!$A$10:$A$12,'Standard Tests'!$A$15:$A$17,'Standard Tests'!$A$20:$A$21)</c15:sqref>
                  </c15:fullRef>
                </c:ext>
              </c:extLst>
              <c:f>('Standard Tests'!$A$10:$A$12,'Standard Tests'!$A$15:$A$17,'Standard Tests'!$A$20:$A$21)</c:f>
              <c:strCache>
                <c:ptCount val="8"/>
                <c:pt idx="0">
                  <c:v>List Learning</c:v>
                </c:pt>
                <c:pt idx="1">
                  <c:v>Story Memory</c:v>
                </c:pt>
                <c:pt idx="2">
                  <c:v>Figure Copy</c:v>
                </c:pt>
                <c:pt idx="3">
                  <c:v>Semantic Fluency</c:v>
                </c:pt>
                <c:pt idx="4">
                  <c:v>Digit Span</c:v>
                </c:pt>
                <c:pt idx="5">
                  <c:v>Coding</c:v>
                </c:pt>
                <c:pt idx="6">
                  <c:v>Story Recall</c:v>
                </c:pt>
                <c:pt idx="7">
                  <c:v>Figure Recall </c:v>
                </c:pt>
              </c:strCache>
            </c:strRef>
          </c:cat>
          <c:val>
            <c:numRef>
              <c:extLst>
                <c:ext xmlns:c15="http://schemas.microsoft.com/office/drawing/2012/chart" uri="{02D57815-91ED-43cb-92C2-25804820EDAC}">
                  <c15:fullRef>
                    <c15:sqref>'Do Not Edit'!$N$73:$N$92</c15:sqref>
                  </c15:fullRef>
                </c:ext>
              </c:extLst>
              <c:f>'Do Not Edit'!$N$73:$N$80</c:f>
              <c:numCache>
                <c:formatCode>0.00</c:formatCode>
                <c:ptCount val="8"/>
                <c:pt idx="0">
                  <c:v>6.5</c:v>
                </c:pt>
                <c:pt idx="1">
                  <c:v>6.5</c:v>
                </c:pt>
                <c:pt idx="2">
                  <c:v>6.5</c:v>
                </c:pt>
                <c:pt idx="3">
                  <c:v>6.5</c:v>
                </c:pt>
                <c:pt idx="4">
                  <c:v>6.5</c:v>
                </c:pt>
                <c:pt idx="5">
                  <c:v>6.5</c:v>
                </c:pt>
                <c:pt idx="6">
                  <c:v>6.5</c:v>
                </c:pt>
                <c:pt idx="7">
                  <c:v>6.5</c:v>
                </c:pt>
              </c:numCache>
            </c:numRef>
          </c:val>
          <c:smooth val="0"/>
          <c:extLst>
            <c:ext xmlns:c16="http://schemas.microsoft.com/office/drawing/2014/chart" uri="{C3380CC4-5D6E-409C-BE32-E72D297353CC}">
              <c16:uniqueId val="{00000024-9561-4590-9687-D94DE10A504E}"/>
            </c:ext>
          </c:extLst>
        </c:ser>
        <c:dLbls>
          <c:showLegendKey val="0"/>
          <c:showVal val="0"/>
          <c:showCatName val="0"/>
          <c:showSerName val="0"/>
          <c:showPercent val="0"/>
          <c:showBubbleSize val="0"/>
        </c:dLbls>
        <c:marker val="1"/>
        <c:smooth val="0"/>
        <c:axId val="480864928"/>
        <c:axId val="480865344"/>
      </c:lineChart>
      <c:catAx>
        <c:axId val="480864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865344"/>
        <c:crosses val="autoZero"/>
        <c:auto val="1"/>
        <c:lblAlgn val="ctr"/>
        <c:lblOffset val="100"/>
        <c:noMultiLvlLbl val="0"/>
      </c:catAx>
      <c:valAx>
        <c:axId val="480865344"/>
        <c:scaling>
          <c:orientation val="minMax"/>
          <c:max val="19"/>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Weschler Scaled Score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864928"/>
        <c:crosses val="autoZero"/>
        <c:crossBetween val="between"/>
        <c:majorUnit val="1"/>
      </c:valAx>
      <c:spPr>
        <a:noFill/>
        <a:ln>
          <a:noFill/>
        </a:ln>
        <a:effectLst/>
      </c:spPr>
    </c:plotArea>
    <c:legend>
      <c:legendPos val="r"/>
      <c:legendEntry>
        <c:idx val="1"/>
        <c:delete val="1"/>
      </c:legendEntry>
      <c:layout>
        <c:manualLayout>
          <c:xMode val="edge"/>
          <c:yMode val="edge"/>
          <c:x val="0.86507276660716181"/>
          <c:y val="0.36945861483338921"/>
          <c:w val="0.13492723339283819"/>
          <c:h val="0.1825570586638130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RBANS Percentile Ranges vs Expected</a:t>
            </a:r>
            <a:r>
              <a:rPr lang="en-GB" b="1" baseline="0"/>
              <a:t> Scores</a:t>
            </a:r>
            <a:r>
              <a:rPr lang="en-GB" b="1"/>
              <a:t>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2"/>
          <c:order val="0"/>
          <c:tx>
            <c:strRef>
              <c:f>'Do Not Edit'!$D$192</c:f>
              <c:strCache>
                <c:ptCount val="1"/>
                <c:pt idx="0">
                  <c:v>Lower</c:v>
                </c:pt>
              </c:strCache>
            </c:strRef>
          </c:tx>
          <c:spPr>
            <a:noFill/>
            <a:ln>
              <a:noFill/>
            </a:ln>
            <a:effectLst/>
          </c:spPr>
          <c:cat>
            <c:strRef>
              <c:f>'Do Not Edit'!$E$189:$H$189</c:f>
              <c:strCache>
                <c:ptCount val="4"/>
                <c:pt idx="0">
                  <c:v>Line Orientation</c:v>
                </c:pt>
                <c:pt idx="1">
                  <c:v>Picture Naming</c:v>
                </c:pt>
                <c:pt idx="2">
                  <c:v>Delayed Recall</c:v>
                </c:pt>
                <c:pt idx="3">
                  <c:v>Delayed Recognition</c:v>
                </c:pt>
              </c:strCache>
            </c:strRef>
          </c:cat>
          <c:val>
            <c:numRef>
              <c:f>'Do Not Edit'!$E$192:$H$192</c:f>
              <c:numCache>
                <c:formatCode>0.0%</c:formatCode>
                <c:ptCount val="4"/>
                <c:pt idx="0">
                  <c:v>0.21456471341418634</c:v>
                </c:pt>
                <c:pt idx="1">
                  <c:v>0.21456471341418634</c:v>
                </c:pt>
                <c:pt idx="2">
                  <c:v>0.2582596873373092</c:v>
                </c:pt>
                <c:pt idx="3">
                  <c:v>0.2582596873373092</c:v>
                </c:pt>
              </c:numCache>
            </c:numRef>
          </c:val>
          <c:extLst>
            <c:ext xmlns:c16="http://schemas.microsoft.com/office/drawing/2014/chart" uri="{C3380CC4-5D6E-409C-BE32-E72D297353CC}">
              <c16:uniqueId val="{00000000-CB89-4C91-A06E-A84087F130E5}"/>
            </c:ext>
          </c:extLst>
        </c:ser>
        <c:ser>
          <c:idx val="3"/>
          <c:order val="3"/>
          <c:tx>
            <c:v>Expected Performance Range</c:v>
          </c:tx>
          <c:spPr>
            <a:solidFill>
              <a:schemeClr val="accent6">
                <a:lumMod val="40000"/>
                <a:lumOff val="60000"/>
              </a:schemeClr>
            </a:solidFill>
            <a:ln>
              <a:noFill/>
            </a:ln>
            <a:effectLst/>
          </c:spPr>
          <c:cat>
            <c:strRef>
              <c:f>'Do Not Edit'!$E$189:$H$189</c:f>
              <c:strCache>
                <c:ptCount val="4"/>
                <c:pt idx="0">
                  <c:v>Line Orientation</c:v>
                </c:pt>
                <c:pt idx="1">
                  <c:v>Picture Naming</c:v>
                </c:pt>
                <c:pt idx="2">
                  <c:v>Delayed Recall</c:v>
                </c:pt>
                <c:pt idx="3">
                  <c:v>Delayed Recognition</c:v>
                </c:pt>
              </c:strCache>
            </c:strRef>
          </c:cat>
          <c:val>
            <c:numRef>
              <c:f>'Do Not Edit'!$E$195:$H$195</c:f>
              <c:numCache>
                <c:formatCode>0.0%</c:formatCode>
                <c:ptCount val="4"/>
                <c:pt idx="0">
                  <c:v>0.67216488631722326</c:v>
                </c:pt>
                <c:pt idx="1">
                  <c:v>0.67216488631722326</c:v>
                </c:pt>
                <c:pt idx="2">
                  <c:v>0.65343743455929337</c:v>
                </c:pt>
                <c:pt idx="3">
                  <c:v>0.65343743455929337</c:v>
                </c:pt>
              </c:numCache>
            </c:numRef>
          </c:val>
          <c:extLst>
            <c:ext xmlns:c16="http://schemas.microsoft.com/office/drawing/2014/chart" uri="{C3380CC4-5D6E-409C-BE32-E72D297353CC}">
              <c16:uniqueId val="{00000001-CB89-4C91-A06E-A84087F130E5}"/>
            </c:ext>
          </c:extLst>
        </c:ser>
        <c:dLbls>
          <c:showLegendKey val="0"/>
          <c:showVal val="0"/>
          <c:showCatName val="0"/>
          <c:showSerName val="0"/>
          <c:showPercent val="0"/>
          <c:showBubbleSize val="0"/>
        </c:dLbls>
        <c:axId val="726451151"/>
        <c:axId val="726452399"/>
        <c:extLst>
          <c:ext xmlns:c15="http://schemas.microsoft.com/office/drawing/2012/chart" uri="{02D57815-91ED-43cb-92C2-25804820EDAC}">
            <c15:filteredAreaSeries>
              <c15:ser>
                <c:idx val="1"/>
                <c:order val="2"/>
                <c:tx>
                  <c:strRef>
                    <c:extLst>
                      <c:ext uri="{02D57815-91ED-43cb-92C2-25804820EDAC}">
                        <c15:formulaRef>
                          <c15:sqref>'Do Not Edit'!$D$191</c15:sqref>
                        </c15:formulaRef>
                      </c:ext>
                    </c:extLst>
                    <c:strCache>
                      <c:ptCount val="1"/>
                      <c:pt idx="0">
                        <c:v>Upper</c:v>
                      </c:pt>
                    </c:strCache>
                  </c:strRef>
                </c:tx>
                <c:spPr>
                  <a:solidFill>
                    <a:schemeClr val="accent2"/>
                  </a:solidFill>
                  <a:ln>
                    <a:noFill/>
                  </a:ln>
                  <a:effectLst/>
                </c:spPr>
                <c:cat>
                  <c:strRef>
                    <c:extLst>
                      <c:ext uri="{02D57815-91ED-43cb-92C2-25804820EDAC}">
                        <c15:formulaRef>
                          <c15:sqref>'Do Not Edit'!$E$189:$H$189</c15:sqref>
                        </c15:formulaRef>
                      </c:ext>
                    </c:extLst>
                    <c:strCache>
                      <c:ptCount val="4"/>
                      <c:pt idx="0">
                        <c:v>Line Orientation</c:v>
                      </c:pt>
                      <c:pt idx="1">
                        <c:v>Picture Naming</c:v>
                      </c:pt>
                      <c:pt idx="2">
                        <c:v>Delayed Recall</c:v>
                      </c:pt>
                      <c:pt idx="3">
                        <c:v>Delayed Recognition</c:v>
                      </c:pt>
                    </c:strCache>
                  </c:strRef>
                </c:cat>
                <c:val>
                  <c:numRef>
                    <c:extLst>
                      <c:ext uri="{02D57815-91ED-43cb-92C2-25804820EDAC}">
                        <c15:formulaRef>
                          <c15:sqref>'Do Not Edit'!$E$191:$H$191</c15:sqref>
                        </c15:formulaRef>
                      </c:ext>
                    </c:extLst>
                    <c:numCache>
                      <c:formatCode>0.0%</c:formatCode>
                      <c:ptCount val="4"/>
                      <c:pt idx="0">
                        <c:v>0.88672959973140963</c:v>
                      </c:pt>
                      <c:pt idx="1">
                        <c:v>0.88672959973140963</c:v>
                      </c:pt>
                      <c:pt idx="2">
                        <c:v>0.91169712189660257</c:v>
                      </c:pt>
                      <c:pt idx="3">
                        <c:v>0.91169712189660257</c:v>
                      </c:pt>
                    </c:numCache>
                  </c:numRef>
                </c:val>
                <c:extLst>
                  <c:ext xmlns:c16="http://schemas.microsoft.com/office/drawing/2014/chart" uri="{C3380CC4-5D6E-409C-BE32-E72D297353CC}">
                    <c16:uniqueId val="{00000008-CB89-4C91-A06E-A84087F130E5}"/>
                  </c:ext>
                </c:extLst>
              </c15:ser>
            </c15:filteredAreaSeries>
          </c:ext>
        </c:extLst>
      </c:areaChart>
      <c:lineChart>
        <c:grouping val="standard"/>
        <c:varyColors val="0"/>
        <c:ser>
          <c:idx val="0"/>
          <c:order val="1"/>
          <c:tx>
            <c:v>Expected Percentile</c:v>
          </c:tx>
          <c:spPr>
            <a:ln w="28575" cap="rnd">
              <a:solidFill>
                <a:schemeClr val="accent6">
                  <a:lumMod val="75000"/>
                </a:schemeClr>
              </a:solidFill>
              <a:round/>
            </a:ln>
            <a:effectLst/>
          </c:spPr>
          <c:marker>
            <c:symbol val="none"/>
          </c:marker>
          <c:cat>
            <c:strRef>
              <c:f>'Do Not Edit'!$E$189:$H$189</c:f>
              <c:strCache>
                <c:ptCount val="4"/>
                <c:pt idx="0">
                  <c:v>Line Orientation</c:v>
                </c:pt>
                <c:pt idx="1">
                  <c:v>Picture Naming</c:v>
                </c:pt>
                <c:pt idx="2">
                  <c:v>Delayed Recall</c:v>
                </c:pt>
                <c:pt idx="3">
                  <c:v>Delayed Recognition</c:v>
                </c:pt>
              </c:strCache>
            </c:strRef>
          </c:cat>
          <c:val>
            <c:numRef>
              <c:f>'Do Not Edit'!$E$190:$H$190</c:f>
              <c:numCache>
                <c:formatCode>0.0%</c:formatCode>
                <c:ptCount val="4"/>
                <c:pt idx="0">
                  <c:v>0.58289989540363751</c:v>
                </c:pt>
                <c:pt idx="1">
                  <c:v>0.58289989540363751</c:v>
                </c:pt>
                <c:pt idx="2">
                  <c:v>0.63731085111571373</c:v>
                </c:pt>
                <c:pt idx="3">
                  <c:v>0.63731085111571373</c:v>
                </c:pt>
              </c:numCache>
            </c:numRef>
          </c:val>
          <c:smooth val="0"/>
          <c:extLst>
            <c:ext xmlns:c16="http://schemas.microsoft.com/office/drawing/2014/chart" uri="{C3380CC4-5D6E-409C-BE32-E72D297353CC}">
              <c16:uniqueId val="{00000002-CB89-4C91-A06E-A84087F130E5}"/>
            </c:ext>
          </c:extLst>
        </c:ser>
        <c:ser>
          <c:idx val="7"/>
          <c:order val="7"/>
          <c:tx>
            <c:strRef>
              <c:f>'Do Not Edit'!$D$193</c:f>
              <c:strCache>
                <c:ptCount val="1"/>
                <c:pt idx="0">
                  <c:v>Z=-1.5</c:v>
                </c:pt>
              </c:strCache>
            </c:strRef>
          </c:tx>
          <c:spPr>
            <a:ln w="28575" cap="rnd">
              <a:solidFill>
                <a:schemeClr val="accent2"/>
              </a:solidFill>
              <a:prstDash val="sysDash"/>
              <a:round/>
            </a:ln>
            <a:effectLst/>
          </c:spPr>
          <c:marker>
            <c:symbol val="none"/>
          </c:marker>
          <c:cat>
            <c:strRef>
              <c:f>'Do Not Edit'!$E$189:$H$189</c:f>
              <c:strCache>
                <c:ptCount val="4"/>
                <c:pt idx="0">
                  <c:v>Line Orientation</c:v>
                </c:pt>
                <c:pt idx="1">
                  <c:v>Picture Naming</c:v>
                </c:pt>
                <c:pt idx="2">
                  <c:v>Delayed Recall</c:v>
                </c:pt>
                <c:pt idx="3">
                  <c:v>Delayed Recognition</c:v>
                </c:pt>
              </c:strCache>
            </c:strRef>
          </c:cat>
          <c:val>
            <c:numRef>
              <c:f>'Do Not Edit'!$E$193:$H$193</c:f>
              <c:numCache>
                <c:formatCode>0.0%</c:formatCode>
                <c:ptCount val="4"/>
                <c:pt idx="0">
                  <c:v>9.8406938139520658E-2</c:v>
                </c:pt>
                <c:pt idx="1">
                  <c:v>9.8406938139520658E-2</c:v>
                </c:pt>
                <c:pt idx="2">
                  <c:v>0.12533572809272112</c:v>
                </c:pt>
                <c:pt idx="3">
                  <c:v>0.12533572809272112</c:v>
                </c:pt>
              </c:numCache>
            </c:numRef>
          </c:val>
          <c:smooth val="0"/>
          <c:extLst>
            <c:ext xmlns:c16="http://schemas.microsoft.com/office/drawing/2014/chart" uri="{C3380CC4-5D6E-409C-BE32-E72D297353CC}">
              <c16:uniqueId val="{00000003-CB89-4C91-A06E-A84087F130E5}"/>
            </c:ext>
          </c:extLst>
        </c:ser>
        <c:ser>
          <c:idx val="8"/>
          <c:order val="8"/>
          <c:tx>
            <c:strRef>
              <c:f>'Do Not Edit'!$D$194</c:f>
              <c:strCache>
                <c:ptCount val="1"/>
                <c:pt idx="0">
                  <c:v>Z=-2</c:v>
                </c:pt>
              </c:strCache>
            </c:strRef>
          </c:tx>
          <c:spPr>
            <a:ln w="28575" cap="rnd">
              <a:solidFill>
                <a:srgbClr val="FF0000"/>
              </a:solidFill>
              <a:prstDash val="sysDash"/>
              <a:round/>
            </a:ln>
            <a:effectLst/>
          </c:spPr>
          <c:marker>
            <c:symbol val="none"/>
          </c:marker>
          <c:cat>
            <c:strRef>
              <c:f>'Do Not Edit'!$E$189:$H$189</c:f>
              <c:strCache>
                <c:ptCount val="4"/>
                <c:pt idx="0">
                  <c:v>Line Orientation</c:v>
                </c:pt>
                <c:pt idx="1">
                  <c:v>Picture Naming</c:v>
                </c:pt>
                <c:pt idx="2">
                  <c:v>Delayed Recall</c:v>
                </c:pt>
                <c:pt idx="3">
                  <c:v>Delayed Recognition</c:v>
                </c:pt>
              </c:strCache>
            </c:strRef>
          </c:cat>
          <c:val>
            <c:numRef>
              <c:f>'Do Not Edit'!$E$194:$H$194</c:f>
              <c:numCache>
                <c:formatCode>0.0%</c:formatCode>
                <c:ptCount val="4"/>
                <c:pt idx="0">
                  <c:v>3.667214850756137E-2</c:v>
                </c:pt>
                <c:pt idx="1">
                  <c:v>3.667214850756137E-2</c:v>
                </c:pt>
                <c:pt idx="2">
                  <c:v>4.9602505428107423E-2</c:v>
                </c:pt>
                <c:pt idx="3">
                  <c:v>4.9602505428107423E-2</c:v>
                </c:pt>
              </c:numCache>
            </c:numRef>
          </c:val>
          <c:smooth val="0"/>
          <c:extLst>
            <c:ext xmlns:c16="http://schemas.microsoft.com/office/drawing/2014/chart" uri="{C3380CC4-5D6E-409C-BE32-E72D297353CC}">
              <c16:uniqueId val="{00000004-CB89-4C91-A06E-A84087F130E5}"/>
            </c:ext>
          </c:extLst>
        </c:ser>
        <c:dLbls>
          <c:showLegendKey val="0"/>
          <c:showVal val="0"/>
          <c:showCatName val="0"/>
          <c:showSerName val="0"/>
          <c:showPercent val="0"/>
          <c:showBubbleSize val="0"/>
        </c:dLbls>
        <c:marker val="1"/>
        <c:smooth val="0"/>
        <c:axId val="726451151"/>
        <c:axId val="726452399"/>
      </c:lineChart>
      <c:scatterChart>
        <c:scatterStyle val="lineMarker"/>
        <c:varyColors val="0"/>
        <c:ser>
          <c:idx val="4"/>
          <c:order val="4"/>
          <c:tx>
            <c:v>RBANS MId</c:v>
          </c:tx>
          <c:spPr>
            <a:ln w="25400" cap="rnd">
              <a:noFill/>
              <a:round/>
            </a:ln>
            <a:effectLst/>
          </c:spPr>
          <c:marker>
            <c:symbol val="x"/>
            <c:size val="7"/>
            <c:spPr>
              <a:noFill/>
              <a:ln w="28575">
                <a:solidFill>
                  <a:schemeClr val="tx2"/>
                </a:solidFill>
              </a:ln>
              <a:effectLst/>
            </c:spPr>
          </c:marker>
          <c:errBars>
            <c:errDir val="y"/>
            <c:errBarType val="both"/>
            <c:errValType val="cust"/>
            <c:noEndCap val="0"/>
            <c:plus>
              <c:numRef>
                <c:f>'Do Not Edit'!$E$200:$H$200</c:f>
                <c:numCache>
                  <c:formatCode>General</c:formatCode>
                  <c:ptCount val="4"/>
                  <c:pt idx="0">
                    <c:v>0.01</c:v>
                  </c:pt>
                  <c:pt idx="1">
                    <c:v>0.01</c:v>
                  </c:pt>
                  <c:pt idx="2">
                    <c:v>0.12</c:v>
                  </c:pt>
                  <c:pt idx="3">
                    <c:v>0.01</c:v>
                  </c:pt>
                </c:numCache>
              </c:numRef>
            </c:plus>
            <c:minus>
              <c:numRef>
                <c:f>'Do Not Edit'!$E$200:$H$200</c:f>
                <c:numCache>
                  <c:formatCode>General</c:formatCode>
                  <c:ptCount val="4"/>
                  <c:pt idx="0">
                    <c:v>0.01</c:v>
                  </c:pt>
                  <c:pt idx="1">
                    <c:v>0.01</c:v>
                  </c:pt>
                  <c:pt idx="2">
                    <c:v>0.12</c:v>
                  </c:pt>
                  <c:pt idx="3">
                    <c:v>0.01</c:v>
                  </c:pt>
                </c:numCache>
              </c:numRef>
            </c:minus>
            <c:spPr>
              <a:noFill/>
              <a:ln w="9525" cap="flat" cmpd="sng" algn="ctr">
                <a:solidFill>
                  <a:schemeClr val="tx1">
                    <a:lumMod val="65000"/>
                    <a:lumOff val="35000"/>
                  </a:schemeClr>
                </a:solidFill>
                <a:round/>
              </a:ln>
              <a:effectLst/>
            </c:spPr>
          </c:errBars>
          <c:yVal>
            <c:numRef>
              <c:f>'Do Not Edit'!$E$198:$H$198</c:f>
              <c:numCache>
                <c:formatCode>General</c:formatCode>
                <c:ptCount val="4"/>
                <c:pt idx="0">
                  <c:v>0.01</c:v>
                </c:pt>
                <c:pt idx="1">
                  <c:v>0.01</c:v>
                </c:pt>
                <c:pt idx="2">
                  <c:v>0.38</c:v>
                </c:pt>
                <c:pt idx="3">
                  <c:v>0.01</c:v>
                </c:pt>
              </c:numCache>
            </c:numRef>
          </c:yVal>
          <c:smooth val="0"/>
          <c:extLst>
            <c:ext xmlns:c16="http://schemas.microsoft.com/office/drawing/2014/chart" uri="{C3380CC4-5D6E-409C-BE32-E72D297353CC}">
              <c16:uniqueId val="{00000005-CB89-4C91-A06E-A84087F130E5}"/>
            </c:ext>
          </c:extLst>
        </c:ser>
        <c:ser>
          <c:idx val="5"/>
          <c:order val="5"/>
          <c:tx>
            <c:v>RBANS Upper</c:v>
          </c:tx>
          <c:spPr>
            <a:ln w="25400" cap="rnd">
              <a:noFill/>
              <a:round/>
            </a:ln>
            <a:effectLst/>
          </c:spPr>
          <c:marker>
            <c:symbol val="circle"/>
            <c:size val="5"/>
            <c:spPr>
              <a:solidFill>
                <a:schemeClr val="tx1"/>
              </a:solidFill>
              <a:ln w="9525">
                <a:solidFill>
                  <a:schemeClr val="accent6"/>
                </a:solidFill>
              </a:ln>
              <a:effectLst/>
            </c:spPr>
          </c:marker>
          <c:yVal>
            <c:numRef>
              <c:f>'Do Not Edit'!$E$197:$H$197</c:f>
              <c:numCache>
                <c:formatCode>General</c:formatCode>
                <c:ptCount val="4"/>
                <c:pt idx="0">
                  <c:v>0.02</c:v>
                </c:pt>
                <c:pt idx="1">
                  <c:v>0.02</c:v>
                </c:pt>
                <c:pt idx="2">
                  <c:v>0.5</c:v>
                </c:pt>
                <c:pt idx="3">
                  <c:v>0.02</c:v>
                </c:pt>
              </c:numCache>
            </c:numRef>
          </c:yVal>
          <c:smooth val="0"/>
          <c:extLst>
            <c:ext xmlns:c16="http://schemas.microsoft.com/office/drawing/2014/chart" uri="{C3380CC4-5D6E-409C-BE32-E72D297353CC}">
              <c16:uniqueId val="{00000006-CB89-4C91-A06E-A84087F130E5}"/>
            </c:ext>
          </c:extLst>
        </c:ser>
        <c:ser>
          <c:idx val="6"/>
          <c:order val="6"/>
          <c:tx>
            <c:v>RBANS Lower</c:v>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yVal>
            <c:numRef>
              <c:f>'Do Not Edit'!$E$199:$H$199</c:f>
              <c:numCache>
                <c:formatCode>General</c:formatCode>
                <c:ptCount val="4"/>
                <c:pt idx="0">
                  <c:v>0</c:v>
                </c:pt>
                <c:pt idx="1">
                  <c:v>0</c:v>
                </c:pt>
                <c:pt idx="2">
                  <c:v>0.26</c:v>
                </c:pt>
                <c:pt idx="3">
                  <c:v>0</c:v>
                </c:pt>
              </c:numCache>
            </c:numRef>
          </c:yVal>
          <c:smooth val="0"/>
          <c:extLst>
            <c:ext xmlns:c16="http://schemas.microsoft.com/office/drawing/2014/chart" uri="{C3380CC4-5D6E-409C-BE32-E72D297353CC}">
              <c16:uniqueId val="{00000007-CB89-4C91-A06E-A84087F130E5}"/>
            </c:ext>
          </c:extLst>
        </c:ser>
        <c:dLbls>
          <c:showLegendKey val="0"/>
          <c:showVal val="0"/>
          <c:showCatName val="0"/>
          <c:showSerName val="0"/>
          <c:showPercent val="0"/>
          <c:showBubbleSize val="0"/>
        </c:dLbls>
        <c:axId val="726451151"/>
        <c:axId val="726452399"/>
      </c:scatterChart>
      <c:catAx>
        <c:axId val="7264511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Sub-test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452399"/>
        <c:crosses val="autoZero"/>
        <c:auto val="1"/>
        <c:lblAlgn val="ctr"/>
        <c:lblOffset val="100"/>
        <c:noMultiLvlLbl val="0"/>
      </c:catAx>
      <c:valAx>
        <c:axId val="726452399"/>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Percentile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451151"/>
        <c:crosses val="autoZero"/>
        <c:crossBetween val="between"/>
      </c:valAx>
      <c:spPr>
        <a:noFill/>
        <a:ln>
          <a:noFill/>
        </a:ln>
        <a:effectLst/>
      </c:spPr>
    </c:plotArea>
    <c:legend>
      <c:legendPos val="r"/>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RBANS T2 vs RBANS T1 vs Norma</a:t>
            </a:r>
            <a:r>
              <a:rPr lang="en-GB" b="1" baseline="0"/>
              <a:t>l Expected Performance Range at T2 (90% CI) </a:t>
            </a:r>
            <a:br>
              <a:rPr lang="en-GB" b="1" baseline="0"/>
            </a:br>
            <a:r>
              <a:rPr lang="en-GB" b="1" baseline="0"/>
              <a:t>- using Duff et al 2004 Regression Calculations</a:t>
            </a:r>
            <a:endParaRPr lang="en-GB"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5639303707726202E-2"/>
          <c:y val="0.10280321993855518"/>
          <c:w val="0.66314682706899708"/>
          <c:h val="0.74104750304506695"/>
        </c:manualLayout>
      </c:layout>
      <c:areaChart>
        <c:grouping val="stacked"/>
        <c:varyColors val="0"/>
        <c:ser>
          <c:idx val="2"/>
          <c:order val="2"/>
          <c:tx>
            <c:v>Significantly Lower Performance</c:v>
          </c:tx>
          <c:spPr>
            <a:solidFill>
              <a:schemeClr val="accent2">
                <a:lumMod val="40000"/>
                <a:lumOff val="60000"/>
                <a:alpha val="66000"/>
              </a:schemeClr>
            </a:solidFill>
            <a:ln w="25400">
              <a:noFill/>
            </a:ln>
            <a:effectLst/>
          </c:spPr>
          <c:val>
            <c:numRef>
              <c:f>'Do Not Edit'!$J$144:$O$144</c:f>
              <c:numCache>
                <c:formatCode>General</c:formatCode>
                <c:ptCount val="6"/>
                <c:pt idx="0">
                  <c:v>62.463399999999993</c:v>
                </c:pt>
                <c:pt idx="1">
                  <c:v>55.757499999999993</c:v>
                </c:pt>
                <c:pt idx="2">
                  <c:v>73.74045000000001</c:v>
                </c:pt>
                <c:pt idx="3">
                  <c:v>73.245750000000001</c:v>
                </c:pt>
                <c:pt idx="4">
                  <c:v>69.258299999999991</c:v>
                </c:pt>
                <c:pt idx="5">
                  <c:v>57.812549999999995</c:v>
                </c:pt>
              </c:numCache>
            </c:numRef>
          </c:val>
          <c:extLst>
            <c:ext xmlns:c16="http://schemas.microsoft.com/office/drawing/2014/chart" uri="{C3380CC4-5D6E-409C-BE32-E72D297353CC}">
              <c16:uniqueId val="{00000000-1390-4AC6-B2E6-DD99B6DBA24D}"/>
            </c:ext>
          </c:extLst>
        </c:ser>
        <c:ser>
          <c:idx val="4"/>
          <c:order val="4"/>
          <c:tx>
            <c:v>Normal Re-test Performance Range at T2 (90%CI)</c:v>
          </c:tx>
          <c:spPr>
            <a:solidFill>
              <a:schemeClr val="accent6">
                <a:lumMod val="20000"/>
                <a:lumOff val="80000"/>
                <a:alpha val="59000"/>
              </a:schemeClr>
            </a:solidFill>
            <a:ln w="25400">
              <a:noFill/>
            </a:ln>
            <a:effectLst/>
          </c:spPr>
          <c:val>
            <c:numRef>
              <c:f>'Do Not Edit'!$J$147:$O$147</c:f>
              <c:numCache>
                <c:formatCode>General</c:formatCode>
                <c:ptCount val="6"/>
                <c:pt idx="0">
                  <c:v>36.45320000000001</c:v>
                </c:pt>
                <c:pt idx="1">
                  <c:v>41.125</c:v>
                </c:pt>
                <c:pt idx="2">
                  <c:v>28.919099999999986</c:v>
                </c:pt>
                <c:pt idx="3">
                  <c:v>31.748500000000007</c:v>
                </c:pt>
                <c:pt idx="4">
                  <c:v>37.703400000000016</c:v>
                </c:pt>
                <c:pt idx="5">
                  <c:v>25.694899999999997</c:v>
                </c:pt>
              </c:numCache>
            </c:numRef>
          </c:val>
          <c:extLst>
            <c:ext xmlns:c16="http://schemas.microsoft.com/office/drawing/2014/chart" uri="{C3380CC4-5D6E-409C-BE32-E72D297353CC}">
              <c16:uniqueId val="{00000001-1390-4AC6-B2E6-DD99B6DBA24D}"/>
            </c:ext>
          </c:extLst>
        </c:ser>
        <c:dLbls>
          <c:showLegendKey val="0"/>
          <c:showVal val="0"/>
          <c:showCatName val="0"/>
          <c:showSerName val="0"/>
          <c:showPercent val="0"/>
          <c:showBubbleSize val="0"/>
        </c:dLbls>
        <c:axId val="638275088"/>
        <c:axId val="471286720"/>
      </c:areaChart>
      <c:lineChart>
        <c:grouping val="standard"/>
        <c:varyColors val="0"/>
        <c:ser>
          <c:idx val="0"/>
          <c:order val="0"/>
          <c:tx>
            <c:v>Re-test RBANS (T2)</c:v>
          </c:tx>
          <c:spPr>
            <a:ln w="28575" cap="rnd">
              <a:solidFill>
                <a:srgbClr val="00B0F0"/>
              </a:solidFill>
              <a:round/>
            </a:ln>
            <a:effectLst/>
          </c:spPr>
          <c:marker>
            <c:symbol val="circle"/>
            <c:size val="5"/>
            <c:spPr>
              <a:solidFill>
                <a:schemeClr val="accent1"/>
              </a:solidFill>
              <a:ln w="19050">
                <a:solidFill>
                  <a:srgbClr val="00B0F0"/>
                </a:solidFill>
              </a:ln>
              <a:effectLst/>
            </c:spPr>
          </c:marker>
          <c:cat>
            <c:strRef>
              <c:f>'Standard Tests'!$A$23:$A$28</c:f>
              <c:strCache>
                <c:ptCount val="6"/>
                <c:pt idx="0">
                  <c:v>Immediate Memory</c:v>
                </c:pt>
                <c:pt idx="1">
                  <c:v>VS/Constructional</c:v>
                </c:pt>
                <c:pt idx="2">
                  <c:v>Language</c:v>
                </c:pt>
                <c:pt idx="3">
                  <c:v>Attention</c:v>
                </c:pt>
                <c:pt idx="4">
                  <c:v>Delayed Memory </c:v>
                </c:pt>
                <c:pt idx="5">
                  <c:v>Total Scale</c:v>
                </c:pt>
              </c:strCache>
            </c:strRef>
          </c:cat>
          <c:val>
            <c:numRef>
              <c:f>'Standard Tests'!$B$23:$B$28</c:f>
              <c:numCache>
                <c:formatCode>General</c:formatCode>
                <c:ptCount val="6"/>
                <c:pt idx="0">
                  <c:v>109</c:v>
                </c:pt>
                <c:pt idx="1">
                  <c:v>50</c:v>
                </c:pt>
                <c:pt idx="2">
                  <c:v>60</c:v>
                </c:pt>
                <c:pt idx="3">
                  <c:v>64</c:v>
                </c:pt>
                <c:pt idx="4">
                  <c:v>75</c:v>
                </c:pt>
                <c:pt idx="5">
                  <c:v>64</c:v>
                </c:pt>
              </c:numCache>
            </c:numRef>
          </c:val>
          <c:smooth val="0"/>
          <c:extLst>
            <c:ext xmlns:c16="http://schemas.microsoft.com/office/drawing/2014/chart" uri="{C3380CC4-5D6E-409C-BE32-E72D297353CC}">
              <c16:uniqueId val="{00000002-1390-4AC6-B2E6-DD99B6DBA24D}"/>
            </c:ext>
          </c:extLst>
        </c:ser>
        <c:ser>
          <c:idx val="1"/>
          <c:order val="1"/>
          <c:tx>
            <c:v>Predicted Re-test Score (T2)</c:v>
          </c:tx>
          <c:spPr>
            <a:ln w="28575" cap="rnd">
              <a:solidFill>
                <a:schemeClr val="accent2"/>
              </a:solidFill>
              <a:prstDash val="dash"/>
              <a:round/>
            </a:ln>
            <a:effectLst/>
          </c:spPr>
          <c:marker>
            <c:symbol val="circle"/>
            <c:size val="5"/>
            <c:spPr>
              <a:solidFill>
                <a:schemeClr val="accent2"/>
              </a:solidFill>
              <a:ln w="19050">
                <a:solidFill>
                  <a:srgbClr val="00B050"/>
                </a:solidFill>
                <a:prstDash val="dash"/>
              </a:ln>
              <a:effectLst/>
            </c:spPr>
          </c:marker>
          <c:val>
            <c:numRef>
              <c:f>'Do Not Edit'!$J$142:$O$142</c:f>
              <c:numCache>
                <c:formatCode>General</c:formatCode>
                <c:ptCount val="6"/>
                <c:pt idx="0">
                  <c:v>80.69</c:v>
                </c:pt>
                <c:pt idx="1">
                  <c:v>76.319999999999993</c:v>
                </c:pt>
                <c:pt idx="2">
                  <c:v>88.2</c:v>
                </c:pt>
                <c:pt idx="3">
                  <c:v>89.12</c:v>
                </c:pt>
                <c:pt idx="4">
                  <c:v>88.11</c:v>
                </c:pt>
                <c:pt idx="5">
                  <c:v>70.66</c:v>
                </c:pt>
              </c:numCache>
            </c:numRef>
          </c:val>
          <c:smooth val="0"/>
          <c:extLst>
            <c:ext xmlns:c16="http://schemas.microsoft.com/office/drawing/2014/chart" uri="{C3380CC4-5D6E-409C-BE32-E72D297353CC}">
              <c16:uniqueId val="{00000003-1390-4AC6-B2E6-DD99B6DBA24D}"/>
            </c:ext>
          </c:extLst>
        </c:ser>
        <c:ser>
          <c:idx val="7"/>
          <c:order val="7"/>
          <c:tx>
            <c:v>Previous RBANS (T1)</c:v>
          </c:tx>
          <c:spPr>
            <a:ln w="28575" cap="rnd">
              <a:solidFill>
                <a:schemeClr val="accent2">
                  <a:lumMod val="60000"/>
                </a:schemeClr>
              </a:solidFill>
              <a:prstDash val="solid"/>
              <a:round/>
            </a:ln>
            <a:effectLst/>
          </c:spPr>
          <c:marker>
            <c:symbol val="circle"/>
            <c:size val="5"/>
            <c:spPr>
              <a:solidFill>
                <a:schemeClr val="accent2">
                  <a:lumMod val="60000"/>
                </a:schemeClr>
              </a:solidFill>
              <a:ln w="9525">
                <a:solidFill>
                  <a:schemeClr val="accent2">
                    <a:lumMod val="60000"/>
                  </a:schemeClr>
                </a:solidFill>
                <a:prstDash val="solid"/>
              </a:ln>
              <a:effectLst/>
            </c:spPr>
          </c:marker>
          <c:val>
            <c:numRef>
              <c:f>'RBANS Predicted Re-test Scores'!$B$25:$B$30</c:f>
              <c:numCache>
                <c:formatCode>General</c:formatCode>
                <c:ptCount val="6"/>
                <c:pt idx="0">
                  <c:v>78</c:v>
                </c:pt>
                <c:pt idx="1">
                  <c:v>66</c:v>
                </c:pt>
                <c:pt idx="2">
                  <c:v>84</c:v>
                </c:pt>
                <c:pt idx="3">
                  <c:v>82</c:v>
                </c:pt>
                <c:pt idx="4">
                  <c:v>81</c:v>
                </c:pt>
                <c:pt idx="5">
                  <c:v>72</c:v>
                </c:pt>
              </c:numCache>
            </c:numRef>
          </c:val>
          <c:smooth val="0"/>
          <c:extLst>
            <c:ext xmlns:c16="http://schemas.microsoft.com/office/drawing/2014/chart" uri="{C3380CC4-5D6E-409C-BE32-E72D297353CC}">
              <c16:uniqueId val="{00000004-1390-4AC6-B2E6-DD99B6DBA24D}"/>
            </c:ext>
          </c:extLst>
        </c:ser>
        <c:dLbls>
          <c:showLegendKey val="0"/>
          <c:showVal val="0"/>
          <c:showCatName val="0"/>
          <c:showSerName val="0"/>
          <c:showPercent val="0"/>
          <c:showBubbleSize val="0"/>
        </c:dLbls>
        <c:marker val="1"/>
        <c:smooth val="0"/>
        <c:axId val="638275088"/>
        <c:axId val="471286720"/>
        <c:extLst>
          <c:ext xmlns:c15="http://schemas.microsoft.com/office/drawing/2012/chart" uri="{02D57815-91ED-43cb-92C2-25804820EDAC}">
            <c15:filteredLineSeries>
              <c15:ser>
                <c:idx val="3"/>
                <c:order val="3"/>
                <c:tx>
                  <c:v>Upper</c:v>
                </c:tx>
                <c:spPr>
                  <a:ln w="28575" cap="rnd">
                    <a:solidFill>
                      <a:schemeClr val="accent4"/>
                    </a:solidFill>
                    <a:round/>
                  </a:ln>
                  <a:effectLst/>
                </c:spPr>
                <c:marker>
                  <c:symbol val="none"/>
                </c:marker>
                <c:val>
                  <c:numRef>
                    <c:extLst>
                      <c:ext uri="{02D57815-91ED-43cb-92C2-25804820EDAC}">
                        <c15:formulaRef>
                          <c15:sqref>'Do Not Edit'!$J$143:$O$143</c15:sqref>
                        </c15:formulaRef>
                      </c:ext>
                    </c:extLst>
                    <c:numCache>
                      <c:formatCode>General</c:formatCode>
                      <c:ptCount val="6"/>
                      <c:pt idx="0">
                        <c:v>98.916600000000003</c:v>
                      </c:pt>
                      <c:pt idx="1">
                        <c:v>96.882499999999993</c:v>
                      </c:pt>
                      <c:pt idx="2">
                        <c:v>102.65955</c:v>
                      </c:pt>
                      <c:pt idx="3">
                        <c:v>104.99425000000001</c:v>
                      </c:pt>
                      <c:pt idx="4">
                        <c:v>106.96170000000001</c:v>
                      </c:pt>
                      <c:pt idx="5">
                        <c:v>83.507449999999992</c:v>
                      </c:pt>
                    </c:numCache>
                  </c:numRef>
                </c:val>
                <c:smooth val="0"/>
                <c:extLst>
                  <c:ext xmlns:c16="http://schemas.microsoft.com/office/drawing/2014/chart" uri="{C3380CC4-5D6E-409C-BE32-E72D297353CC}">
                    <c16:uniqueId val="{00000005-1390-4AC6-B2E6-DD99B6DBA24D}"/>
                  </c:ext>
                </c:extLst>
              </c15:ser>
            </c15:filteredLineSeries>
            <c15:filteredLineSeries>
              <c15:ser>
                <c:idx val="5"/>
                <c:order val="5"/>
                <c:tx>
                  <c:v>z=-1.5</c:v>
                </c:tx>
                <c:spPr>
                  <a:ln w="19050" cap="rnd">
                    <a:solidFill>
                      <a:schemeClr val="accent2"/>
                    </a:solidFill>
                    <a:prstDash val="dash"/>
                    <a:round/>
                  </a:ln>
                  <a:effectLst/>
                </c:spPr>
                <c:marker>
                  <c:symbol val="none"/>
                </c:marker>
                <c:val>
                  <c:numRef>
                    <c:extLst xmlns:c15="http://schemas.microsoft.com/office/drawing/2012/chart">
                      <c:ext xmlns:c15="http://schemas.microsoft.com/office/drawing/2012/chart" uri="{02D57815-91ED-43cb-92C2-25804820EDAC}">
                        <c15:formulaRef>
                          <c15:sqref>'Do Not Edit'!$B$39:$G$39</c15:sqref>
                        </c15:formulaRef>
                      </c:ext>
                    </c:extLst>
                    <c:numCache>
                      <c:formatCode>General</c:formatCode>
                      <c:ptCount val="6"/>
                      <c:pt idx="0">
                        <c:v>82.906700000000001</c:v>
                      </c:pt>
                      <c:pt idx="1">
                        <c:v>80.639765999999966</c:v>
                      </c:pt>
                      <c:pt idx="2">
                        <c:v>80.639765999999966</c:v>
                      </c:pt>
                      <c:pt idx="3">
                        <c:v>80.639765999999966</c:v>
                      </c:pt>
                      <c:pt idx="4">
                        <c:v>82.769200000000012</c:v>
                      </c:pt>
                      <c:pt idx="5">
                        <c:v>80.639765999999966</c:v>
                      </c:pt>
                    </c:numCache>
                  </c:numRef>
                </c:val>
                <c:smooth val="0"/>
                <c:extLst xmlns:c15="http://schemas.microsoft.com/office/drawing/2012/chart">
                  <c:ext xmlns:c16="http://schemas.microsoft.com/office/drawing/2014/chart" uri="{C3380CC4-5D6E-409C-BE32-E72D297353CC}">
                    <c16:uniqueId val="{00000006-1390-4AC6-B2E6-DD99B6DBA24D}"/>
                  </c:ext>
                </c:extLst>
              </c15:ser>
            </c15:filteredLineSeries>
            <c15:filteredLineSeries>
              <c15:ser>
                <c:idx val="6"/>
                <c:order val="6"/>
                <c:tx>
                  <c:v>z=-2</c:v>
                </c:tx>
                <c:spPr>
                  <a:ln w="19050" cap="rnd">
                    <a:solidFill>
                      <a:srgbClr val="FF0000"/>
                    </a:solidFill>
                    <a:prstDash val="dash"/>
                    <a:round/>
                  </a:ln>
                  <a:effectLst/>
                </c:spPr>
                <c:marker>
                  <c:symbol val="none"/>
                </c:marker>
                <c:val>
                  <c:numRef>
                    <c:extLst xmlns:c15="http://schemas.microsoft.com/office/drawing/2012/chart">
                      <c:ext xmlns:c15="http://schemas.microsoft.com/office/drawing/2012/chart" uri="{02D57815-91ED-43cb-92C2-25804820EDAC}">
                        <c15:formulaRef>
                          <c15:sqref>'Do Not Edit'!$B$40:$G$40</c15:sqref>
                        </c15:formulaRef>
                      </c:ext>
                    </c:extLst>
                    <c:numCache>
                      <c:formatCode>General</c:formatCode>
                      <c:ptCount val="6"/>
                      <c:pt idx="0">
                        <c:v>75.406700000000001</c:v>
                      </c:pt>
                      <c:pt idx="1">
                        <c:v>73.139765999999966</c:v>
                      </c:pt>
                      <c:pt idx="2">
                        <c:v>73.139765999999966</c:v>
                      </c:pt>
                      <c:pt idx="3">
                        <c:v>73.139765999999966</c:v>
                      </c:pt>
                      <c:pt idx="4">
                        <c:v>75.269200000000012</c:v>
                      </c:pt>
                      <c:pt idx="5">
                        <c:v>73.139765999999966</c:v>
                      </c:pt>
                    </c:numCache>
                  </c:numRef>
                </c:val>
                <c:smooth val="0"/>
                <c:extLst xmlns:c15="http://schemas.microsoft.com/office/drawing/2012/chart">
                  <c:ext xmlns:c16="http://schemas.microsoft.com/office/drawing/2014/chart" uri="{C3380CC4-5D6E-409C-BE32-E72D297353CC}">
                    <c16:uniqueId val="{00000007-1390-4AC6-B2E6-DD99B6DBA24D}"/>
                  </c:ext>
                </c:extLst>
              </c15:ser>
            </c15:filteredLineSeries>
          </c:ext>
        </c:extLst>
      </c:lineChart>
      <c:catAx>
        <c:axId val="63827508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Domain</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286720"/>
        <c:crosses val="autoZero"/>
        <c:auto val="1"/>
        <c:lblAlgn val="ctr"/>
        <c:lblOffset val="100"/>
        <c:noMultiLvlLbl val="0"/>
      </c:catAx>
      <c:valAx>
        <c:axId val="471286720"/>
        <c:scaling>
          <c:orientation val="minMax"/>
          <c:max val="150"/>
          <c:min val="4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Index</a:t>
                </a:r>
                <a:r>
                  <a:rPr lang="en-GB" b="1" baseline="0"/>
                  <a:t> Score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275088"/>
        <c:crosses val="autoZero"/>
        <c:crossBetween val="between"/>
        <c:majorUnit val="5"/>
      </c:valAx>
      <c:spPr>
        <a:noFill/>
        <a:ln>
          <a:noFill/>
        </a:ln>
        <a:effectLst/>
      </c:spPr>
    </c:plotArea>
    <c:legend>
      <c:legendPos val="r"/>
      <c:layout>
        <c:manualLayout>
          <c:xMode val="edge"/>
          <c:yMode val="edge"/>
          <c:x val="0.7567268561569005"/>
          <c:y val="0.45818555567277597"/>
          <c:w val="0.23429245232985302"/>
          <c:h val="0.171286217115674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Scaled</a:t>
            </a:r>
            <a:r>
              <a:rPr lang="en-GB" b="1" baseline="0"/>
              <a:t> Scores </a:t>
            </a:r>
            <a:r>
              <a:rPr lang="en-GB" b="1"/>
              <a:t>RBANS</a:t>
            </a:r>
            <a:r>
              <a:rPr lang="en-GB" b="1" baseline="0"/>
              <a:t> vs Pre-Morbid Estimates (FSIQ, IMI, DMI)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2928146723311607E-2"/>
          <c:y val="0.10031102096010819"/>
          <c:w val="0.7957415736038268"/>
          <c:h val="0.60331422061086182"/>
        </c:manualLayout>
      </c:layout>
      <c:areaChart>
        <c:grouping val="stacked"/>
        <c:varyColors val="0"/>
        <c:ser>
          <c:idx val="2"/>
          <c:order val="1"/>
          <c:tx>
            <c:strRef>
              <c:f>'Do Not Edit'!$C$72</c:f>
              <c:strCache>
                <c:ptCount val="1"/>
                <c:pt idx="0">
                  <c:v>Z=-1</c:v>
                </c:pt>
              </c:strCache>
            </c:strRef>
          </c:tx>
          <c:spPr>
            <a:noFill/>
            <a:ln w="25400">
              <a:noFill/>
            </a:ln>
            <a:effectLst/>
          </c:spPr>
          <c:val>
            <c:numRef>
              <c:f>'Do Not Edit'!$K$100:$K$107</c:f>
              <c:numCache>
                <c:formatCode>0.00</c:formatCode>
                <c:ptCount val="8"/>
                <c:pt idx="0">
                  <c:v>8</c:v>
                </c:pt>
                <c:pt idx="1">
                  <c:v>8</c:v>
                </c:pt>
                <c:pt idx="2">
                  <c:v>8</c:v>
                </c:pt>
                <c:pt idx="3">
                  <c:v>8</c:v>
                </c:pt>
                <c:pt idx="4">
                  <c:v>8</c:v>
                </c:pt>
                <c:pt idx="5">
                  <c:v>8</c:v>
                </c:pt>
                <c:pt idx="6">
                  <c:v>8</c:v>
                </c:pt>
                <c:pt idx="7">
                  <c:v>8</c:v>
                </c:pt>
              </c:numCache>
            </c:numRef>
          </c:val>
          <c:extLst>
            <c:ext xmlns:c16="http://schemas.microsoft.com/office/drawing/2014/chart" uri="{C3380CC4-5D6E-409C-BE32-E72D297353CC}">
              <c16:uniqueId val="{00000000-B885-48B3-BC5E-B16F52807C38}"/>
            </c:ext>
          </c:extLst>
        </c:ser>
        <c:ser>
          <c:idx val="4"/>
          <c:order val="2"/>
          <c:tx>
            <c:v>Expected Performance Range</c:v>
          </c:tx>
          <c:spPr>
            <a:solidFill>
              <a:schemeClr val="accent6">
                <a:lumMod val="40000"/>
                <a:lumOff val="60000"/>
                <a:alpha val="73000"/>
              </a:schemeClr>
            </a:solidFill>
            <a:ln w="25400">
              <a:noFill/>
            </a:ln>
            <a:effectLst/>
          </c:spPr>
          <c:val>
            <c:numRef>
              <c:f>'Do Not Edit'!$M$100:$M$107</c:f>
              <c:numCache>
                <c:formatCode>General</c:formatCode>
                <c:ptCount val="8"/>
                <c:pt idx="0">
                  <c:v>6</c:v>
                </c:pt>
                <c:pt idx="1">
                  <c:v>6</c:v>
                </c:pt>
                <c:pt idx="2">
                  <c:v>6</c:v>
                </c:pt>
                <c:pt idx="3">
                  <c:v>6</c:v>
                </c:pt>
                <c:pt idx="4">
                  <c:v>6</c:v>
                </c:pt>
                <c:pt idx="5">
                  <c:v>6</c:v>
                </c:pt>
                <c:pt idx="6">
                  <c:v>6</c:v>
                </c:pt>
                <c:pt idx="7">
                  <c:v>6</c:v>
                </c:pt>
              </c:numCache>
            </c:numRef>
          </c:val>
          <c:extLst>
            <c:ext xmlns:c16="http://schemas.microsoft.com/office/drawing/2014/chart" uri="{C3380CC4-5D6E-409C-BE32-E72D297353CC}">
              <c16:uniqueId val="{00000001-B885-48B3-BC5E-B16F52807C38}"/>
            </c:ext>
          </c:extLst>
        </c:ser>
        <c:dLbls>
          <c:showLegendKey val="0"/>
          <c:showVal val="0"/>
          <c:showCatName val="0"/>
          <c:showSerName val="0"/>
          <c:showPercent val="0"/>
          <c:showBubbleSize val="0"/>
        </c:dLbls>
        <c:axId val="480864928"/>
        <c:axId val="480865344"/>
      </c:areaChart>
      <c:barChart>
        <c:barDir val="col"/>
        <c:grouping val="clustered"/>
        <c:varyColors val="0"/>
        <c:ser>
          <c:idx val="0"/>
          <c:order val="4"/>
          <c:tx>
            <c:v>RBANS</c:v>
          </c:tx>
          <c:spPr>
            <a:solidFill>
              <a:schemeClr val="accent1"/>
            </a:solidFill>
            <a:ln>
              <a:noFill/>
            </a:ln>
            <a:effectLst/>
          </c:spPr>
          <c:invertIfNegative val="0"/>
          <c:cat>
            <c:strRef>
              <c:f>('Standard Tests'!$A$10:$A$12,'Standard Tests'!$A$15:$A$17,'Standard Tests'!$A$20:$A$21)</c:f>
              <c:strCache>
                <c:ptCount val="8"/>
                <c:pt idx="0">
                  <c:v>List Learning</c:v>
                </c:pt>
                <c:pt idx="1">
                  <c:v>Story Memory</c:v>
                </c:pt>
                <c:pt idx="2">
                  <c:v>Figure Copy</c:v>
                </c:pt>
                <c:pt idx="3">
                  <c:v>Semantic Fluency</c:v>
                </c:pt>
                <c:pt idx="4">
                  <c:v>Digit Span</c:v>
                </c:pt>
                <c:pt idx="5">
                  <c:v>Coding</c:v>
                </c:pt>
                <c:pt idx="6">
                  <c:v>Story Recall</c:v>
                </c:pt>
                <c:pt idx="7">
                  <c:v>Figure Recall </c:v>
                </c:pt>
              </c:strCache>
            </c:strRef>
          </c:cat>
          <c:val>
            <c:numRef>
              <c:f>('Standard Tests'!$C$10:$C$12,'Standard Tests'!$C$15:$C$17,'Standard Tests'!$C$20:$C$21)</c:f>
              <c:numCache>
                <c:formatCode>General</c:formatCode>
                <c:ptCount val="8"/>
                <c:pt idx="0">
                  <c:v>12</c:v>
                </c:pt>
                <c:pt idx="1">
                  <c:v>9</c:v>
                </c:pt>
                <c:pt idx="2">
                  <c:v>1</c:v>
                </c:pt>
                <c:pt idx="3">
                  <c:v>7</c:v>
                </c:pt>
                <c:pt idx="4">
                  <c:v>2</c:v>
                </c:pt>
                <c:pt idx="5">
                  <c:v>7</c:v>
                </c:pt>
                <c:pt idx="6">
                  <c:v>9</c:v>
                </c:pt>
                <c:pt idx="7">
                  <c:v>8</c:v>
                </c:pt>
              </c:numCache>
            </c:numRef>
          </c:val>
          <c:extLst>
            <c:ext xmlns:c16="http://schemas.microsoft.com/office/drawing/2014/chart" uri="{C3380CC4-5D6E-409C-BE32-E72D297353CC}">
              <c16:uniqueId val="{00000002-B885-48B3-BC5E-B16F52807C38}"/>
            </c:ext>
          </c:extLst>
        </c:ser>
        <c:dLbls>
          <c:showLegendKey val="0"/>
          <c:showVal val="0"/>
          <c:showCatName val="0"/>
          <c:showSerName val="0"/>
          <c:showPercent val="0"/>
          <c:showBubbleSize val="0"/>
        </c:dLbls>
        <c:gapWidth val="150"/>
        <c:axId val="480864928"/>
        <c:axId val="480865344"/>
      </c:barChart>
      <c:lineChart>
        <c:grouping val="standard"/>
        <c:varyColors val="0"/>
        <c:ser>
          <c:idx val="1"/>
          <c:order val="0"/>
          <c:tx>
            <c:strRef>
              <c:f>'Do Not Edit'!$B$72</c:f>
              <c:strCache>
                <c:ptCount val="1"/>
                <c:pt idx="0">
                  <c:v>z=-2</c:v>
                </c:pt>
              </c:strCache>
            </c:strRef>
          </c:tx>
          <c:spPr>
            <a:ln w="28575" cap="rnd">
              <a:solidFill>
                <a:srgbClr val="FF0000"/>
              </a:solidFill>
              <a:prstDash val="sysDash"/>
              <a:round/>
            </a:ln>
            <a:effectLst/>
          </c:spPr>
          <c:marker>
            <c:symbol val="none"/>
          </c:marker>
          <c:cat>
            <c:strRef>
              <c:f>('Standard Tests'!$A$10:$A$12,'Standard Tests'!$A$15:$A$17,'Standard Tests'!$A$20:$A$21)</c:f>
              <c:strCache>
                <c:ptCount val="8"/>
                <c:pt idx="0">
                  <c:v>List Learning</c:v>
                </c:pt>
                <c:pt idx="1">
                  <c:v>Story Memory</c:v>
                </c:pt>
                <c:pt idx="2">
                  <c:v>Figure Copy</c:v>
                </c:pt>
                <c:pt idx="3">
                  <c:v>Semantic Fluency</c:v>
                </c:pt>
                <c:pt idx="4">
                  <c:v>Digit Span</c:v>
                </c:pt>
                <c:pt idx="5">
                  <c:v>Coding</c:v>
                </c:pt>
                <c:pt idx="6">
                  <c:v>Story Recall</c:v>
                </c:pt>
                <c:pt idx="7">
                  <c:v>Figure Recall </c:v>
                </c:pt>
              </c:strCache>
            </c:strRef>
          </c:cat>
          <c:val>
            <c:numRef>
              <c:f>'Do Not Edit'!$J$100:$J$107</c:f>
              <c:numCache>
                <c:formatCode>0.00</c:formatCode>
                <c:ptCount val="8"/>
                <c:pt idx="0">
                  <c:v>5</c:v>
                </c:pt>
                <c:pt idx="1">
                  <c:v>5</c:v>
                </c:pt>
                <c:pt idx="2">
                  <c:v>5</c:v>
                </c:pt>
                <c:pt idx="3">
                  <c:v>5</c:v>
                </c:pt>
                <c:pt idx="4">
                  <c:v>5</c:v>
                </c:pt>
                <c:pt idx="5">
                  <c:v>5</c:v>
                </c:pt>
                <c:pt idx="6">
                  <c:v>5</c:v>
                </c:pt>
                <c:pt idx="7">
                  <c:v>5</c:v>
                </c:pt>
              </c:numCache>
            </c:numRef>
          </c:val>
          <c:smooth val="0"/>
          <c:extLst>
            <c:ext xmlns:c16="http://schemas.microsoft.com/office/drawing/2014/chart" uri="{C3380CC4-5D6E-409C-BE32-E72D297353CC}">
              <c16:uniqueId val="{00000003-B885-48B3-BC5E-B16F52807C38}"/>
            </c:ext>
          </c:extLst>
        </c:ser>
        <c:ser>
          <c:idx val="5"/>
          <c:order val="3"/>
          <c:tx>
            <c:v>z=-1.5</c:v>
          </c:tx>
          <c:spPr>
            <a:ln w="28575" cap="rnd">
              <a:solidFill>
                <a:schemeClr val="accent2"/>
              </a:solidFill>
              <a:prstDash val="sysDash"/>
              <a:round/>
            </a:ln>
            <a:effectLst/>
          </c:spPr>
          <c:marker>
            <c:symbol val="none"/>
          </c:marker>
          <c:cat>
            <c:strRef>
              <c:f>('Standard Tests'!$A$10:$A$12,'Standard Tests'!$A$15:$A$17,'Standard Tests'!$A$20:$A$21)</c:f>
              <c:strCache>
                <c:ptCount val="8"/>
                <c:pt idx="0">
                  <c:v>List Learning</c:v>
                </c:pt>
                <c:pt idx="1">
                  <c:v>Story Memory</c:v>
                </c:pt>
                <c:pt idx="2">
                  <c:v>Figure Copy</c:v>
                </c:pt>
                <c:pt idx="3">
                  <c:v>Semantic Fluency</c:v>
                </c:pt>
                <c:pt idx="4">
                  <c:v>Digit Span</c:v>
                </c:pt>
                <c:pt idx="5">
                  <c:v>Coding</c:v>
                </c:pt>
                <c:pt idx="6">
                  <c:v>Story Recall</c:v>
                </c:pt>
                <c:pt idx="7">
                  <c:v>Figure Recall </c:v>
                </c:pt>
              </c:strCache>
            </c:strRef>
          </c:cat>
          <c:val>
            <c:numRef>
              <c:f>'Do Not Edit'!$N$100:$N$107</c:f>
              <c:numCache>
                <c:formatCode>0.00</c:formatCode>
                <c:ptCount val="8"/>
                <c:pt idx="0">
                  <c:v>6.5</c:v>
                </c:pt>
                <c:pt idx="1">
                  <c:v>6.5</c:v>
                </c:pt>
                <c:pt idx="2">
                  <c:v>6.5</c:v>
                </c:pt>
                <c:pt idx="3">
                  <c:v>6.5</c:v>
                </c:pt>
                <c:pt idx="4">
                  <c:v>6.5</c:v>
                </c:pt>
                <c:pt idx="5">
                  <c:v>6.5</c:v>
                </c:pt>
                <c:pt idx="6">
                  <c:v>6.5</c:v>
                </c:pt>
                <c:pt idx="7">
                  <c:v>6.5</c:v>
                </c:pt>
              </c:numCache>
            </c:numRef>
          </c:val>
          <c:smooth val="0"/>
          <c:extLst>
            <c:ext xmlns:c16="http://schemas.microsoft.com/office/drawing/2014/chart" uri="{C3380CC4-5D6E-409C-BE32-E72D297353CC}">
              <c16:uniqueId val="{00000004-B885-48B3-BC5E-B16F52807C38}"/>
            </c:ext>
          </c:extLst>
        </c:ser>
        <c:dLbls>
          <c:showLegendKey val="0"/>
          <c:showVal val="0"/>
          <c:showCatName val="0"/>
          <c:showSerName val="0"/>
          <c:showPercent val="0"/>
          <c:showBubbleSize val="0"/>
        </c:dLbls>
        <c:marker val="1"/>
        <c:smooth val="0"/>
        <c:axId val="480864928"/>
        <c:axId val="480865344"/>
      </c:lineChart>
      <c:catAx>
        <c:axId val="480864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865344"/>
        <c:crosses val="autoZero"/>
        <c:auto val="1"/>
        <c:lblAlgn val="ctr"/>
        <c:lblOffset val="100"/>
        <c:noMultiLvlLbl val="0"/>
      </c:catAx>
      <c:valAx>
        <c:axId val="480865344"/>
        <c:scaling>
          <c:orientation val="minMax"/>
          <c:max val="19"/>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Weschler Scaled Score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864928"/>
        <c:crosses val="autoZero"/>
        <c:crossBetween val="between"/>
        <c:majorUnit val="1"/>
      </c:valAx>
      <c:spPr>
        <a:noFill/>
        <a:ln>
          <a:noFill/>
        </a:ln>
        <a:effectLst/>
      </c:spPr>
    </c:plotArea>
    <c:legend>
      <c:legendPos val="r"/>
      <c:legendEntry>
        <c:idx val="1"/>
        <c:delete val="1"/>
      </c:legendEntry>
      <c:layout>
        <c:manualLayout>
          <c:xMode val="edge"/>
          <c:yMode val="edge"/>
          <c:x val="0.86507276660716181"/>
          <c:y val="0.36945861483338921"/>
          <c:w val="0.13492723339283819"/>
          <c:h val="0.261352620074031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Learning Ratios (Mean + SD)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spPr>
            <a:ln w="28575" cap="rnd">
              <a:noFill/>
              <a:round/>
            </a:ln>
            <a:effectLst/>
          </c:spPr>
          <c:marker>
            <c:symbol val="circle"/>
            <c:size val="5"/>
            <c:spPr>
              <a:solidFill>
                <a:schemeClr val="accent1"/>
              </a:solidFill>
              <a:ln w="9525">
                <a:noFill/>
              </a:ln>
              <a:effectLst/>
            </c:spPr>
          </c:marker>
          <c:errBars>
            <c:errDir val="y"/>
            <c:errBarType val="both"/>
            <c:errValType val="cust"/>
            <c:noEndCap val="0"/>
            <c:plus>
              <c:numRef>
                <c:f>'LR Post-Hoc'!$J$24:$J$27</c:f>
                <c:numCache>
                  <c:formatCode>General</c:formatCode>
                  <c:ptCount val="4"/>
                  <c:pt idx="0">
                    <c:v>0</c:v>
                  </c:pt>
                  <c:pt idx="1">
                    <c:v>0.2</c:v>
                  </c:pt>
                  <c:pt idx="2">
                    <c:v>0.2</c:v>
                  </c:pt>
                  <c:pt idx="3">
                    <c:v>0.1</c:v>
                  </c:pt>
                </c:numCache>
              </c:numRef>
            </c:plus>
            <c:minus>
              <c:numRef>
                <c:f>'LR Post-Hoc'!$J$24:$J$27</c:f>
                <c:numCache>
                  <c:formatCode>General</c:formatCode>
                  <c:ptCount val="4"/>
                  <c:pt idx="0">
                    <c:v>0</c:v>
                  </c:pt>
                  <c:pt idx="1">
                    <c:v>0.2</c:v>
                  </c:pt>
                  <c:pt idx="2">
                    <c:v>0.2</c:v>
                  </c:pt>
                  <c:pt idx="3">
                    <c:v>0.1</c:v>
                  </c:pt>
                </c:numCache>
              </c:numRef>
            </c:minus>
            <c:spPr>
              <a:noFill/>
              <a:ln w="9525" cap="flat" cmpd="sng" algn="ctr">
                <a:solidFill>
                  <a:schemeClr val="tx1">
                    <a:lumMod val="65000"/>
                    <a:lumOff val="35000"/>
                  </a:schemeClr>
                </a:solidFill>
                <a:round/>
              </a:ln>
              <a:effectLst/>
            </c:spPr>
          </c:errBars>
          <c:cat>
            <c:strRef>
              <c:f>'LR Post-Hoc'!$F$24:$F$27</c:f>
              <c:strCache>
                <c:ptCount val="4"/>
                <c:pt idx="0">
                  <c:v>Patient</c:v>
                </c:pt>
                <c:pt idx="1">
                  <c:v>Normal Controls</c:v>
                </c:pt>
                <c:pt idx="2">
                  <c:v>Mild Cognitive Impairment</c:v>
                </c:pt>
                <c:pt idx="3">
                  <c:v>Alzheimer's Disease</c:v>
                </c:pt>
              </c:strCache>
            </c:strRef>
          </c:cat>
          <c:val>
            <c:numRef>
              <c:f>'LR Post-Hoc'!$I$24:$I$27</c:f>
              <c:numCache>
                <c:formatCode>General</c:formatCode>
                <c:ptCount val="4"/>
                <c:pt idx="0">
                  <c:v>1</c:v>
                </c:pt>
                <c:pt idx="1">
                  <c:v>0.75</c:v>
                </c:pt>
                <c:pt idx="2">
                  <c:v>0.4</c:v>
                </c:pt>
                <c:pt idx="3">
                  <c:v>0.24</c:v>
                </c:pt>
              </c:numCache>
            </c:numRef>
          </c:val>
          <c:smooth val="0"/>
          <c:extLst>
            <c:ext xmlns:c16="http://schemas.microsoft.com/office/drawing/2014/chart" uri="{C3380CC4-5D6E-409C-BE32-E72D297353CC}">
              <c16:uniqueId val="{00000000-37CF-41FB-AC70-CC45BE5D31D8}"/>
            </c:ext>
          </c:extLst>
        </c:ser>
        <c:dLbls>
          <c:showLegendKey val="0"/>
          <c:showVal val="0"/>
          <c:showCatName val="0"/>
          <c:showSerName val="0"/>
          <c:showPercent val="0"/>
          <c:showBubbleSize val="0"/>
        </c:dLbls>
        <c:marker val="1"/>
        <c:smooth val="0"/>
        <c:axId val="627600000"/>
        <c:axId val="627600832"/>
      </c:lineChart>
      <c:catAx>
        <c:axId val="627600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600832"/>
        <c:crosses val="autoZero"/>
        <c:auto val="1"/>
        <c:lblAlgn val="ctr"/>
        <c:lblOffset val="100"/>
        <c:noMultiLvlLbl val="0"/>
      </c:catAx>
      <c:valAx>
        <c:axId val="627600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600000"/>
        <c:crosses val="autoZero"/>
        <c:crossBetween val="between"/>
        <c:majorUnit val="5.000000000000001E-2"/>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Learning Slop</a:t>
            </a:r>
            <a:r>
              <a:rPr lang="en-US" baseline="0"/>
              <a:t>e - </a:t>
            </a:r>
            <a:r>
              <a:rPr lang="en-US"/>
              <a:t>Words Remembered T1-T4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Word Remembered T1-T4</c:v>
          </c:tx>
          <c:spPr>
            <a:ln w="28575" cap="rnd">
              <a:solidFill>
                <a:schemeClr val="accent1"/>
              </a:solidFill>
              <a:round/>
            </a:ln>
            <a:effectLst/>
          </c:spPr>
          <c:marker>
            <c:symbol val="circle"/>
            <c:size val="10"/>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'LR Post-Hoc'!$D$3:$G$3</c:f>
              <c:numCache>
                <c:formatCode>General</c:formatCode>
                <c:ptCount val="4"/>
                <c:pt idx="0">
                  <c:v>5</c:v>
                </c:pt>
                <c:pt idx="1">
                  <c:v>7</c:v>
                </c:pt>
                <c:pt idx="2">
                  <c:v>8</c:v>
                </c:pt>
                <c:pt idx="3">
                  <c:v>10</c:v>
                </c:pt>
              </c:numCache>
            </c:numRef>
          </c:val>
          <c:smooth val="0"/>
          <c:extLst>
            <c:ext xmlns:c16="http://schemas.microsoft.com/office/drawing/2014/chart" uri="{C3380CC4-5D6E-409C-BE32-E72D297353CC}">
              <c16:uniqueId val="{00000000-5DA4-4875-9911-FAC7486F8858}"/>
            </c:ext>
          </c:extLst>
        </c:ser>
        <c:dLbls>
          <c:showLegendKey val="0"/>
          <c:showVal val="0"/>
          <c:showCatName val="0"/>
          <c:showSerName val="0"/>
          <c:showPercent val="0"/>
          <c:showBubbleSize val="0"/>
        </c:dLbls>
        <c:marker val="1"/>
        <c:smooth val="0"/>
        <c:axId val="584335231"/>
        <c:axId val="584334815"/>
      </c:lineChart>
      <c:catAx>
        <c:axId val="58433523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334815"/>
        <c:crosses val="autoZero"/>
        <c:auto val="1"/>
        <c:lblAlgn val="ctr"/>
        <c:lblOffset val="100"/>
        <c:noMultiLvlLbl val="0"/>
      </c:catAx>
      <c:valAx>
        <c:axId val="584334815"/>
        <c:scaling>
          <c:orientation val="minMax"/>
          <c:max val="1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335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RBANS Index</a:t>
            </a:r>
            <a:r>
              <a:rPr lang="en-GB" b="1" baseline="0"/>
              <a:t> Scores vs Regression Predicted (Duff et al 2015)</a:t>
            </a:r>
            <a:endParaRPr lang="en-GB"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1"/>
          <c:order val="0"/>
          <c:tx>
            <c:v>&lt;5% chance</c:v>
          </c:tx>
          <c:spPr>
            <a:solidFill>
              <a:schemeClr val="accent2">
                <a:lumMod val="40000"/>
                <a:lumOff val="60000"/>
                <a:alpha val="47000"/>
              </a:schemeClr>
            </a:solidFill>
            <a:ln>
              <a:noFill/>
            </a:ln>
            <a:effectLst/>
          </c:spPr>
          <c:cat>
            <c:strRef>
              <c:f>'RBANS Premorbid Estimator'!$Q$20:$Q$25</c:f>
              <c:strCache>
                <c:ptCount val="6"/>
                <c:pt idx="0">
                  <c:v>Immediate Memory</c:v>
                </c:pt>
                <c:pt idx="1">
                  <c:v>VS/Constructional</c:v>
                </c:pt>
                <c:pt idx="2">
                  <c:v>Language</c:v>
                </c:pt>
                <c:pt idx="3">
                  <c:v>Attention</c:v>
                </c:pt>
                <c:pt idx="4">
                  <c:v>Delayed Memory </c:v>
                </c:pt>
                <c:pt idx="5">
                  <c:v>Total Scale</c:v>
                </c:pt>
              </c:strCache>
            </c:strRef>
          </c:cat>
          <c:val>
            <c:numRef>
              <c:f>'RBANS Premorbid Estimator'!$V$20:$V$25</c:f>
              <c:numCache>
                <c:formatCode>General</c:formatCode>
                <c:ptCount val="6"/>
                <c:pt idx="0">
                  <c:v>61.400200000000027</c:v>
                </c:pt>
                <c:pt idx="1">
                  <c:v>67.570999999999998</c:v>
                </c:pt>
                <c:pt idx="2">
                  <c:v>75.333699999999993</c:v>
                </c:pt>
                <c:pt idx="3">
                  <c:v>70.017649999999989</c:v>
                </c:pt>
                <c:pt idx="4">
                  <c:v>72.187100000000015</c:v>
                </c:pt>
                <c:pt idx="5">
                  <c:v>68.153000000000006</c:v>
                </c:pt>
              </c:numCache>
            </c:numRef>
          </c:val>
          <c:extLst>
            <c:ext xmlns:c16="http://schemas.microsoft.com/office/drawing/2014/chart" uri="{C3380CC4-5D6E-409C-BE32-E72D297353CC}">
              <c16:uniqueId val="{00000001-4F2A-4C57-BDFE-04C0AC2168DD}"/>
            </c:ext>
          </c:extLst>
        </c:ser>
        <c:ser>
          <c:idx val="0"/>
          <c:order val="1"/>
          <c:tx>
            <c:v>Expected range</c:v>
          </c:tx>
          <c:spPr>
            <a:solidFill>
              <a:schemeClr val="accent6">
                <a:lumMod val="40000"/>
                <a:lumOff val="60000"/>
                <a:alpha val="79000"/>
              </a:schemeClr>
            </a:solidFill>
            <a:ln w="25400">
              <a:noFill/>
            </a:ln>
            <a:effectLst/>
          </c:spPr>
          <c:cat>
            <c:strRef>
              <c:f>'RBANS Premorbid Estimator'!$Q$20:$Q$25</c:f>
              <c:strCache>
                <c:ptCount val="6"/>
                <c:pt idx="0">
                  <c:v>Immediate Memory</c:v>
                </c:pt>
                <c:pt idx="1">
                  <c:v>VS/Constructional</c:v>
                </c:pt>
                <c:pt idx="2">
                  <c:v>Language</c:v>
                </c:pt>
                <c:pt idx="3">
                  <c:v>Attention</c:v>
                </c:pt>
                <c:pt idx="4">
                  <c:v>Delayed Memory </c:v>
                </c:pt>
                <c:pt idx="5">
                  <c:v>Total Scale</c:v>
                </c:pt>
              </c:strCache>
            </c:strRef>
          </c:cat>
          <c:val>
            <c:numRef>
              <c:f>'RBANS Premorbid Estimator'!$S$20:$S$25</c:f>
              <c:numCache>
                <c:formatCode>General</c:formatCode>
                <c:ptCount val="6"/>
                <c:pt idx="0">
                  <c:v>28.359799999999996</c:v>
                </c:pt>
                <c:pt idx="1">
                  <c:v>26.648999999999997</c:v>
                </c:pt>
                <c:pt idx="2">
                  <c:v>17.996299999999998</c:v>
                </c:pt>
                <c:pt idx="3">
                  <c:v>25.382349999999999</c:v>
                </c:pt>
                <c:pt idx="4">
                  <c:v>26.352899999999998</c:v>
                </c:pt>
                <c:pt idx="5">
                  <c:v>24.016999999999999</c:v>
                </c:pt>
              </c:numCache>
            </c:numRef>
          </c:val>
          <c:extLst>
            <c:ext xmlns:c16="http://schemas.microsoft.com/office/drawing/2014/chart" uri="{C3380CC4-5D6E-409C-BE32-E72D297353CC}">
              <c16:uniqueId val="{00000000-4F2A-4C57-BDFE-04C0AC2168DD}"/>
            </c:ext>
          </c:extLst>
        </c:ser>
        <c:ser>
          <c:idx val="4"/>
          <c:order val="4"/>
          <c:tx>
            <c:v>Expected Range</c:v>
          </c:tx>
          <c:spPr>
            <a:solidFill>
              <a:schemeClr val="accent6">
                <a:lumMod val="40000"/>
                <a:lumOff val="60000"/>
                <a:alpha val="79000"/>
              </a:schemeClr>
            </a:solidFill>
            <a:ln>
              <a:noFill/>
            </a:ln>
            <a:effectLst/>
          </c:spPr>
          <c:cat>
            <c:strRef>
              <c:f>'RBANS Premorbid Estimator'!$Q$20:$Q$25</c:f>
              <c:strCache>
                <c:ptCount val="6"/>
                <c:pt idx="0">
                  <c:v>Immediate Memory</c:v>
                </c:pt>
                <c:pt idx="1">
                  <c:v>VS/Constructional</c:v>
                </c:pt>
                <c:pt idx="2">
                  <c:v>Language</c:v>
                </c:pt>
                <c:pt idx="3">
                  <c:v>Attention</c:v>
                </c:pt>
                <c:pt idx="4">
                  <c:v>Delayed Memory </c:v>
                </c:pt>
                <c:pt idx="5">
                  <c:v>Total Scale</c:v>
                </c:pt>
              </c:strCache>
            </c:strRef>
          </c:cat>
          <c:val>
            <c:numRef>
              <c:f>'RBANS Premorbid Estimator'!$W$20:$W$25</c:f>
              <c:numCache>
                <c:formatCode>General</c:formatCode>
                <c:ptCount val="6"/>
                <c:pt idx="0">
                  <c:v>28.359799999999996</c:v>
                </c:pt>
                <c:pt idx="1">
                  <c:v>26.648999999999997</c:v>
                </c:pt>
                <c:pt idx="2">
                  <c:v>17.996299999999998</c:v>
                </c:pt>
                <c:pt idx="3">
                  <c:v>25.382349999999999</c:v>
                </c:pt>
                <c:pt idx="4">
                  <c:v>26.352899999999998</c:v>
                </c:pt>
                <c:pt idx="5">
                  <c:v>24.016999999999999</c:v>
                </c:pt>
              </c:numCache>
            </c:numRef>
          </c:val>
          <c:extLst>
            <c:ext xmlns:c16="http://schemas.microsoft.com/office/drawing/2014/chart" uri="{C3380CC4-5D6E-409C-BE32-E72D297353CC}">
              <c16:uniqueId val="{00000005-4F2A-4C57-BDFE-04C0AC2168DD}"/>
            </c:ext>
          </c:extLst>
        </c:ser>
        <c:dLbls>
          <c:showLegendKey val="0"/>
          <c:showVal val="0"/>
          <c:showCatName val="0"/>
          <c:showSerName val="0"/>
          <c:showPercent val="0"/>
          <c:showBubbleSize val="0"/>
        </c:dLbls>
        <c:axId val="1574304911"/>
        <c:axId val="1574306575"/>
      </c:areaChart>
      <c:lineChart>
        <c:grouping val="standard"/>
        <c:varyColors val="0"/>
        <c:ser>
          <c:idx val="2"/>
          <c:order val="2"/>
          <c:tx>
            <c:v>RBANS Actual</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'RBANS Premorbid Estimator'!$Q$20:$Q$25</c:f>
              <c:strCache>
                <c:ptCount val="6"/>
                <c:pt idx="0">
                  <c:v>Immediate Memory</c:v>
                </c:pt>
                <c:pt idx="1">
                  <c:v>VS/Constructional</c:v>
                </c:pt>
                <c:pt idx="2">
                  <c:v>Language</c:v>
                </c:pt>
                <c:pt idx="3">
                  <c:v>Attention</c:v>
                </c:pt>
                <c:pt idx="4">
                  <c:v>Delayed Memory </c:v>
                </c:pt>
                <c:pt idx="5">
                  <c:v>Total Scale</c:v>
                </c:pt>
              </c:strCache>
            </c:strRef>
          </c:cat>
          <c:val>
            <c:numRef>
              <c:f>'RBANS Premorbid Estimator'!$L$20:$L$25</c:f>
              <c:numCache>
                <c:formatCode>General</c:formatCode>
                <c:ptCount val="6"/>
                <c:pt idx="0">
                  <c:v>109</c:v>
                </c:pt>
                <c:pt idx="1">
                  <c:v>50</c:v>
                </c:pt>
                <c:pt idx="2">
                  <c:v>60</c:v>
                </c:pt>
                <c:pt idx="3">
                  <c:v>64</c:v>
                </c:pt>
                <c:pt idx="4">
                  <c:v>75</c:v>
                </c:pt>
                <c:pt idx="5">
                  <c:v>64</c:v>
                </c:pt>
              </c:numCache>
            </c:numRef>
          </c:val>
          <c:smooth val="0"/>
          <c:extLst>
            <c:ext xmlns:c16="http://schemas.microsoft.com/office/drawing/2014/chart" uri="{C3380CC4-5D6E-409C-BE32-E72D297353CC}">
              <c16:uniqueId val="{00000003-4F2A-4C57-BDFE-04C0AC2168DD}"/>
            </c:ext>
          </c:extLst>
        </c:ser>
        <c:ser>
          <c:idx val="3"/>
          <c:order val="3"/>
          <c:tx>
            <c:v>RBANS Predicted</c:v>
          </c:tx>
          <c:spPr>
            <a:ln w="28575" cap="rnd">
              <a:solidFill>
                <a:srgbClr val="00B0F0"/>
              </a:solidFill>
              <a:round/>
            </a:ln>
            <a:effectLst/>
          </c:spPr>
          <c:marker>
            <c:symbol val="circle"/>
            <c:size val="5"/>
            <c:spPr>
              <a:solidFill>
                <a:schemeClr val="accent4"/>
              </a:solidFill>
              <a:ln w="9525">
                <a:solidFill>
                  <a:srgbClr val="00B0F0"/>
                </a:solidFill>
              </a:ln>
              <a:effectLst/>
            </c:spPr>
          </c:marker>
          <c:cat>
            <c:strRef>
              <c:f>'RBANS Premorbid Estimator'!$Q$20:$Q$25</c:f>
              <c:strCache>
                <c:ptCount val="6"/>
                <c:pt idx="0">
                  <c:v>Immediate Memory</c:v>
                </c:pt>
                <c:pt idx="1">
                  <c:v>VS/Constructional</c:v>
                </c:pt>
                <c:pt idx="2">
                  <c:v>Language</c:v>
                </c:pt>
                <c:pt idx="3">
                  <c:v>Attention</c:v>
                </c:pt>
                <c:pt idx="4">
                  <c:v>Delayed Memory </c:v>
                </c:pt>
                <c:pt idx="5">
                  <c:v>Total Scale</c:v>
                </c:pt>
              </c:strCache>
            </c:strRef>
          </c:cat>
          <c:val>
            <c:numRef>
              <c:f>'RBANS Premorbid Estimator'!$K$20:$K$25</c:f>
              <c:numCache>
                <c:formatCode>General</c:formatCode>
                <c:ptCount val="6"/>
                <c:pt idx="0">
                  <c:v>89.760000000000019</c:v>
                </c:pt>
                <c:pt idx="1">
                  <c:v>94.22</c:v>
                </c:pt>
                <c:pt idx="2">
                  <c:v>93.33</c:v>
                </c:pt>
                <c:pt idx="3">
                  <c:v>95.399999999999991</c:v>
                </c:pt>
                <c:pt idx="4">
                  <c:v>98.54</c:v>
                </c:pt>
                <c:pt idx="5">
                  <c:v>92.17</c:v>
                </c:pt>
              </c:numCache>
            </c:numRef>
          </c:val>
          <c:smooth val="0"/>
          <c:extLst>
            <c:ext xmlns:c16="http://schemas.microsoft.com/office/drawing/2014/chart" uri="{C3380CC4-5D6E-409C-BE32-E72D297353CC}">
              <c16:uniqueId val="{00000004-4F2A-4C57-BDFE-04C0AC2168DD}"/>
            </c:ext>
          </c:extLst>
        </c:ser>
        <c:dLbls>
          <c:showLegendKey val="0"/>
          <c:showVal val="0"/>
          <c:showCatName val="0"/>
          <c:showSerName val="0"/>
          <c:showPercent val="0"/>
          <c:showBubbleSize val="0"/>
        </c:dLbls>
        <c:marker val="1"/>
        <c:smooth val="0"/>
        <c:axId val="1574304911"/>
        <c:axId val="1574306575"/>
      </c:lineChart>
      <c:catAx>
        <c:axId val="15743049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306575"/>
        <c:crosses val="autoZero"/>
        <c:auto val="1"/>
        <c:lblAlgn val="ctr"/>
        <c:lblOffset val="100"/>
        <c:noMultiLvlLbl val="0"/>
      </c:catAx>
      <c:valAx>
        <c:axId val="1574306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304911"/>
        <c:crosses val="autoZero"/>
        <c:crossBetween val="between"/>
        <c:majorUnit val="1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Chances</a:t>
            </a:r>
            <a:r>
              <a:rPr lang="en-GB" b="1" baseline="0"/>
              <a:t> of Total Raw Score Result by Random Guessing Selection on the </a:t>
            </a:r>
          </a:p>
          <a:p>
            <a:pPr>
              <a:defRPr b="1"/>
            </a:pPr>
            <a:r>
              <a:rPr lang="en-GB" b="1" baseline="0"/>
              <a:t>RBANS List Recognition Test</a:t>
            </a:r>
            <a:endParaRPr lang="en-GB" b="1"/>
          </a:p>
        </c:rich>
      </c:tx>
      <c:layout>
        <c:manualLayout>
          <c:xMode val="edge"/>
          <c:yMode val="edge"/>
          <c:x val="0.18458520179372198"/>
          <c:y val="4.523678070847209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2">
                <a:lumMod val="40000"/>
                <a:lumOff val="60000"/>
              </a:schemeClr>
            </a:solidFill>
            <a:ln>
              <a:noFill/>
            </a:ln>
            <a:effectLst/>
          </c:spPr>
          <c:invertIfNegative val="0"/>
          <c:dPt>
            <c:idx val="3"/>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1-7854-4AA9-8B02-41CEBA4D7143}"/>
              </c:ext>
            </c:extLst>
          </c:dPt>
          <c:dPt>
            <c:idx val="4"/>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3-7854-4AA9-8B02-41CEBA4D7143}"/>
              </c:ext>
            </c:extLst>
          </c:dPt>
          <c:dPt>
            <c:idx val="5"/>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5-7854-4AA9-8B02-41CEBA4D7143}"/>
              </c:ext>
            </c:extLst>
          </c:dPt>
          <c:dPt>
            <c:idx val="6"/>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7-7854-4AA9-8B02-41CEBA4D7143}"/>
              </c:ext>
            </c:extLst>
          </c:dPt>
          <c:dPt>
            <c:idx val="7"/>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9-7854-4AA9-8B02-41CEBA4D7143}"/>
              </c:ext>
            </c:extLst>
          </c:dPt>
          <c:cat>
            <c:numRef>
              <c:f>[2]Sheet1!$A$3:$A$23</c:f>
              <c:numCache>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cat>
          <c:val>
            <c:numRef>
              <c:f>'P(Word Recog)'!$C$13:$C$33</c:f>
              <c:numCache>
                <c:formatCode>0.000000%</c:formatCode>
                <c:ptCount val="21"/>
                <c:pt idx="0">
                  <c:v>9.5367431640625E-7</c:v>
                </c:pt>
                <c:pt idx="1">
                  <c:v>1.9073486328125034E-5</c:v>
                </c:pt>
                <c:pt idx="2">
                  <c:v>1.8119812011718755E-4</c:v>
                </c:pt>
                <c:pt idx="3">
                  <c:v>1.0871887207031263E-3</c:v>
                </c:pt>
                <c:pt idx="4">
                  <c:v>4.6205520629882752E-3</c:v>
                </c:pt>
                <c:pt idx="5">
                  <c:v>1.4785766601562502E-2</c:v>
                </c:pt>
                <c:pt idx="6">
                  <c:v>3.6964416503906257E-2</c:v>
                </c:pt>
                <c:pt idx="7">
                  <c:v>7.3928833007812458E-2</c:v>
                </c:pt>
                <c:pt idx="8">
                  <c:v>0.12013435363769531</c:v>
                </c:pt>
                <c:pt idx="9">
                  <c:v>0.16017913818359369</c:v>
                </c:pt>
                <c:pt idx="10">
                  <c:v>0.17619705200195307</c:v>
                </c:pt>
                <c:pt idx="11">
                  <c:v>0.16017913818359369</c:v>
                </c:pt>
                <c:pt idx="12">
                  <c:v>0.12013435363769531</c:v>
                </c:pt>
                <c:pt idx="13">
                  <c:v>7.3928833007812472E-2</c:v>
                </c:pt>
                <c:pt idx="14">
                  <c:v>3.6964416503906257E-2</c:v>
                </c:pt>
                <c:pt idx="15">
                  <c:v>1.4785766601562502E-2</c:v>
                </c:pt>
                <c:pt idx="16">
                  <c:v>4.6205520629882752E-3</c:v>
                </c:pt>
                <c:pt idx="17">
                  <c:v>1.0871887207031261E-3</c:v>
                </c:pt>
                <c:pt idx="18">
                  <c:v>1.8119812011718753E-4</c:v>
                </c:pt>
                <c:pt idx="19">
                  <c:v>1.9073486328125E-5</c:v>
                </c:pt>
                <c:pt idx="20">
                  <c:v>9.5367431640625E-7</c:v>
                </c:pt>
              </c:numCache>
            </c:numRef>
          </c:val>
          <c:extLst>
            <c:ext xmlns:c16="http://schemas.microsoft.com/office/drawing/2014/chart" uri="{C3380CC4-5D6E-409C-BE32-E72D297353CC}">
              <c16:uniqueId val="{00000014-7854-4AA9-8B02-41CEBA4D7143}"/>
            </c:ext>
          </c:extLst>
        </c:ser>
        <c:dLbls>
          <c:showLegendKey val="0"/>
          <c:showVal val="0"/>
          <c:showCatName val="0"/>
          <c:showSerName val="0"/>
          <c:showPercent val="0"/>
          <c:showBubbleSize val="0"/>
        </c:dLbls>
        <c:gapWidth val="219"/>
        <c:overlap val="-27"/>
        <c:axId val="2001204000"/>
        <c:axId val="2001204416"/>
      </c:barChart>
      <c:catAx>
        <c:axId val="2001204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204416"/>
        <c:crosses val="autoZero"/>
        <c:auto val="0"/>
        <c:lblAlgn val="ctr"/>
        <c:lblOffset val="100"/>
        <c:noMultiLvlLbl val="0"/>
      </c:catAx>
      <c:valAx>
        <c:axId val="2001204416"/>
        <c:scaling>
          <c:orientation val="minMax"/>
        </c:scaling>
        <c:delete val="0"/>
        <c:axPos val="l"/>
        <c:majorGridlines>
          <c:spPr>
            <a:ln w="9525" cap="flat" cmpd="sng" algn="ctr">
              <a:solidFill>
                <a:schemeClr val="tx1">
                  <a:lumMod val="15000"/>
                  <a:lumOff val="85000"/>
                </a:schemeClr>
              </a:solidFill>
              <a:round/>
            </a:ln>
            <a:effectLst/>
          </c:spPr>
        </c:majorGridlines>
        <c:numFmt formatCode="0.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204000"/>
        <c:crossesAt val="0"/>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RBANS (95%CI) vs Pre-Morbid Estimates using TOPF SEest</a:t>
            </a:r>
          </a:p>
        </c:rich>
      </c:tx>
      <c:layout>
        <c:manualLayout>
          <c:xMode val="edge"/>
          <c:yMode val="edge"/>
          <c:x val="0.28542667664858046"/>
          <c:y val="2.1365662625505146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2"/>
          <c:order val="2"/>
          <c:tx>
            <c:v>Lower</c:v>
          </c:tx>
          <c:spPr>
            <a:noFill/>
            <a:ln w="25400">
              <a:noFill/>
            </a:ln>
            <a:effectLst/>
          </c:spPr>
          <c:val>
            <c:numRef>
              <c:f>'Do Not Edit'!$B$105:$G$105</c:f>
              <c:numCache>
                <c:formatCode>General</c:formatCode>
                <c:ptCount val="6"/>
                <c:pt idx="0">
                  <c:v>81.823980000000006</c:v>
                </c:pt>
                <c:pt idx="1">
                  <c:v>86.595405999999969</c:v>
                </c:pt>
                <c:pt idx="2">
                  <c:v>86.595405999999969</c:v>
                </c:pt>
                <c:pt idx="3">
                  <c:v>86.595405999999969</c:v>
                </c:pt>
                <c:pt idx="4">
                  <c:v>80.926000000000016</c:v>
                </c:pt>
                <c:pt idx="5">
                  <c:v>86.595405999999969</c:v>
                </c:pt>
              </c:numCache>
            </c:numRef>
          </c:val>
          <c:extLst>
            <c:ext xmlns:c16="http://schemas.microsoft.com/office/drawing/2014/chart" uri="{C3380CC4-5D6E-409C-BE32-E72D297353CC}">
              <c16:uniqueId val="{00000000-FDFC-4E57-B275-8E71A34F8ABF}"/>
            </c:ext>
          </c:extLst>
        </c:ser>
        <c:ser>
          <c:idx val="4"/>
          <c:order val="4"/>
          <c:tx>
            <c:v>Expected Performance Range (+/- SEEst x1.96)</c:v>
          </c:tx>
          <c:spPr>
            <a:solidFill>
              <a:schemeClr val="accent6">
                <a:lumMod val="40000"/>
                <a:lumOff val="60000"/>
                <a:alpha val="46000"/>
              </a:schemeClr>
            </a:solidFill>
            <a:ln w="25400">
              <a:noFill/>
            </a:ln>
            <a:effectLst/>
          </c:spPr>
          <c:val>
            <c:numRef>
              <c:f>'Do Not Edit'!$B$108:$G$108</c:f>
              <c:numCache>
                <c:formatCode>General</c:formatCode>
                <c:ptCount val="6"/>
                <c:pt idx="0">
                  <c:v>47.16543999999999</c:v>
                </c:pt>
                <c:pt idx="1">
                  <c:v>33.088719999999995</c:v>
                </c:pt>
                <c:pt idx="2">
                  <c:v>33.088719999999995</c:v>
                </c:pt>
                <c:pt idx="3">
                  <c:v>33.088719999999995</c:v>
                </c:pt>
                <c:pt idx="4">
                  <c:v>48.686399999999992</c:v>
                </c:pt>
                <c:pt idx="5">
                  <c:v>33.088719999999995</c:v>
                </c:pt>
              </c:numCache>
            </c:numRef>
          </c:val>
          <c:extLst>
            <c:ext xmlns:c16="http://schemas.microsoft.com/office/drawing/2014/chart" uri="{C3380CC4-5D6E-409C-BE32-E72D297353CC}">
              <c16:uniqueId val="{00000001-FDFC-4E57-B275-8E71A34F8ABF}"/>
            </c:ext>
          </c:extLst>
        </c:ser>
        <c:dLbls>
          <c:showLegendKey val="0"/>
          <c:showVal val="0"/>
          <c:showCatName val="0"/>
          <c:showSerName val="0"/>
          <c:showPercent val="0"/>
          <c:showBubbleSize val="0"/>
        </c:dLbls>
        <c:axId val="638275088"/>
        <c:axId val="471286720"/>
      </c:areaChart>
      <c:lineChart>
        <c:grouping val="standard"/>
        <c:varyColors val="0"/>
        <c:ser>
          <c:idx val="0"/>
          <c:order val="0"/>
          <c:tx>
            <c:v>RBANS</c:v>
          </c:tx>
          <c:spPr>
            <a:ln w="28575" cap="rnd">
              <a:solidFill>
                <a:srgbClr val="00B0F0"/>
              </a:solidFill>
              <a:round/>
            </a:ln>
            <a:effectLst/>
          </c:spPr>
          <c:marker>
            <c:symbol val="circle"/>
            <c:size val="5"/>
            <c:spPr>
              <a:solidFill>
                <a:schemeClr val="accent1"/>
              </a:solidFill>
              <a:ln w="19050">
                <a:solidFill>
                  <a:srgbClr val="00B0F0"/>
                </a:solidFill>
              </a:ln>
              <a:effectLst/>
            </c:spPr>
          </c:marker>
          <c:errBars>
            <c:errDir val="y"/>
            <c:errBarType val="both"/>
            <c:errValType val="cust"/>
            <c:noEndCap val="0"/>
            <c:plus>
              <c:numRef>
                <c:f>'Standard Tests'!$C$23:$C$28</c:f>
                <c:numCache>
                  <c:formatCode>General</c:formatCode>
                  <c:ptCount val="6"/>
                  <c:pt idx="0">
                    <c:v>10</c:v>
                  </c:pt>
                  <c:pt idx="1">
                    <c:v>10</c:v>
                  </c:pt>
                  <c:pt idx="2">
                    <c:v>10</c:v>
                  </c:pt>
                  <c:pt idx="3">
                    <c:v>10</c:v>
                  </c:pt>
                  <c:pt idx="4">
                    <c:v>10</c:v>
                  </c:pt>
                  <c:pt idx="5">
                    <c:v>7</c:v>
                  </c:pt>
                </c:numCache>
              </c:numRef>
            </c:plus>
            <c:minus>
              <c:numRef>
                <c:f>'Standard Tests'!$C$23:$C$28</c:f>
                <c:numCache>
                  <c:formatCode>General</c:formatCode>
                  <c:ptCount val="6"/>
                  <c:pt idx="0">
                    <c:v>10</c:v>
                  </c:pt>
                  <c:pt idx="1">
                    <c:v>10</c:v>
                  </c:pt>
                  <c:pt idx="2">
                    <c:v>10</c:v>
                  </c:pt>
                  <c:pt idx="3">
                    <c:v>10</c:v>
                  </c:pt>
                  <c:pt idx="4">
                    <c:v>10</c:v>
                  </c:pt>
                  <c:pt idx="5">
                    <c:v>7</c:v>
                  </c:pt>
                </c:numCache>
              </c:numRef>
            </c:minus>
            <c:spPr>
              <a:noFill/>
              <a:ln w="6350" cap="flat" cmpd="sng" algn="ctr">
                <a:solidFill>
                  <a:schemeClr val="tx1">
                    <a:lumMod val="65000"/>
                    <a:lumOff val="35000"/>
                  </a:schemeClr>
                </a:solidFill>
                <a:round/>
              </a:ln>
              <a:effectLst/>
            </c:spPr>
          </c:errBars>
          <c:cat>
            <c:strRef>
              <c:f>'Standard Tests'!$A$23:$A$28</c:f>
              <c:strCache>
                <c:ptCount val="6"/>
                <c:pt idx="0">
                  <c:v>Immediate Memory</c:v>
                </c:pt>
                <c:pt idx="1">
                  <c:v>VS/Constructional</c:v>
                </c:pt>
                <c:pt idx="2">
                  <c:v>Language</c:v>
                </c:pt>
                <c:pt idx="3">
                  <c:v>Attention</c:v>
                </c:pt>
                <c:pt idx="4">
                  <c:v>Delayed Memory </c:v>
                </c:pt>
                <c:pt idx="5">
                  <c:v>Total Scale</c:v>
                </c:pt>
              </c:strCache>
            </c:strRef>
          </c:cat>
          <c:val>
            <c:numRef>
              <c:f>'Standard Tests'!$B$23:$B$28</c:f>
              <c:numCache>
                <c:formatCode>General</c:formatCode>
                <c:ptCount val="6"/>
                <c:pt idx="0">
                  <c:v>109</c:v>
                </c:pt>
                <c:pt idx="1">
                  <c:v>50</c:v>
                </c:pt>
                <c:pt idx="2">
                  <c:v>60</c:v>
                </c:pt>
                <c:pt idx="3">
                  <c:v>64</c:v>
                </c:pt>
                <c:pt idx="4">
                  <c:v>75</c:v>
                </c:pt>
                <c:pt idx="5">
                  <c:v>64</c:v>
                </c:pt>
              </c:numCache>
            </c:numRef>
          </c:val>
          <c:smooth val="0"/>
          <c:extLst>
            <c:ext xmlns:c16="http://schemas.microsoft.com/office/drawing/2014/chart" uri="{C3380CC4-5D6E-409C-BE32-E72D297353CC}">
              <c16:uniqueId val="{00000002-FDFC-4E57-B275-8E71A34F8ABF}"/>
            </c:ext>
          </c:extLst>
        </c:ser>
        <c:ser>
          <c:idx val="1"/>
          <c:order val="1"/>
          <c:tx>
            <c:v>TOPF</c:v>
          </c:tx>
          <c:spPr>
            <a:ln w="28575" cap="rnd">
              <a:solidFill>
                <a:schemeClr val="accent2"/>
              </a:solidFill>
              <a:round/>
            </a:ln>
            <a:effectLst/>
          </c:spPr>
          <c:marker>
            <c:symbol val="circle"/>
            <c:size val="5"/>
            <c:spPr>
              <a:solidFill>
                <a:schemeClr val="accent2"/>
              </a:solidFill>
              <a:ln w="19050">
                <a:solidFill>
                  <a:srgbClr val="00B050"/>
                </a:solidFill>
              </a:ln>
              <a:effectLst/>
            </c:spPr>
          </c:marker>
          <c:val>
            <c:numRef>
              <c:f>'Do Not Edit'!$B$103:$G$103</c:f>
              <c:numCache>
                <c:formatCode>General</c:formatCode>
                <c:ptCount val="6"/>
                <c:pt idx="0">
                  <c:v>105.4067</c:v>
                </c:pt>
                <c:pt idx="1">
                  <c:v>103.13976599999997</c:v>
                </c:pt>
                <c:pt idx="2">
                  <c:v>103.13976599999997</c:v>
                </c:pt>
                <c:pt idx="3">
                  <c:v>103.13976599999997</c:v>
                </c:pt>
                <c:pt idx="4">
                  <c:v>105.26920000000001</c:v>
                </c:pt>
                <c:pt idx="5">
                  <c:v>103.13976599999997</c:v>
                </c:pt>
              </c:numCache>
            </c:numRef>
          </c:val>
          <c:smooth val="0"/>
          <c:extLst>
            <c:ext xmlns:c16="http://schemas.microsoft.com/office/drawing/2014/chart" uri="{C3380CC4-5D6E-409C-BE32-E72D297353CC}">
              <c16:uniqueId val="{00000003-FDFC-4E57-B275-8E71A34F8ABF}"/>
            </c:ext>
          </c:extLst>
        </c:ser>
        <c:ser>
          <c:idx val="3"/>
          <c:order val="3"/>
          <c:tx>
            <c:v>Upper</c:v>
          </c:tx>
          <c:spPr>
            <a:ln w="28575" cap="rnd">
              <a:noFill/>
              <a:round/>
            </a:ln>
            <a:effectLst/>
          </c:spPr>
          <c:marker>
            <c:symbol val="none"/>
          </c:marker>
          <c:val>
            <c:numRef>
              <c:f>'Do Not Edit'!$B$104:$G$104</c:f>
              <c:numCache>
                <c:formatCode>General</c:formatCode>
                <c:ptCount val="6"/>
                <c:pt idx="0">
                  <c:v>128.98942</c:v>
                </c:pt>
                <c:pt idx="1">
                  <c:v>119.68412599999996</c:v>
                </c:pt>
                <c:pt idx="2">
                  <c:v>119.68412599999996</c:v>
                </c:pt>
                <c:pt idx="3">
                  <c:v>119.68412599999996</c:v>
                </c:pt>
                <c:pt idx="4">
                  <c:v>129.61240000000001</c:v>
                </c:pt>
                <c:pt idx="5">
                  <c:v>119.68412599999996</c:v>
                </c:pt>
              </c:numCache>
            </c:numRef>
          </c:val>
          <c:smooth val="0"/>
          <c:extLst>
            <c:ext xmlns:c16="http://schemas.microsoft.com/office/drawing/2014/chart" uri="{C3380CC4-5D6E-409C-BE32-E72D297353CC}">
              <c16:uniqueId val="{00000004-FDFC-4E57-B275-8E71A34F8ABF}"/>
            </c:ext>
          </c:extLst>
        </c:ser>
        <c:ser>
          <c:idx val="5"/>
          <c:order val="5"/>
          <c:tx>
            <c:v>z=-1.5</c:v>
          </c:tx>
          <c:spPr>
            <a:ln w="28575" cap="rnd">
              <a:solidFill>
                <a:schemeClr val="accent2"/>
              </a:solidFill>
              <a:prstDash val="sysDash"/>
              <a:round/>
            </a:ln>
            <a:effectLst/>
          </c:spPr>
          <c:marker>
            <c:symbol val="none"/>
          </c:marker>
          <c:val>
            <c:numRef>
              <c:f>'Do Not Edit'!$B$106:$G$106</c:f>
              <c:numCache>
                <c:formatCode>General</c:formatCode>
                <c:ptCount val="6"/>
                <c:pt idx="0">
                  <c:v>82.906700000000001</c:v>
                </c:pt>
                <c:pt idx="1">
                  <c:v>80.639765999999966</c:v>
                </c:pt>
                <c:pt idx="2">
                  <c:v>80.639765999999966</c:v>
                </c:pt>
                <c:pt idx="3">
                  <c:v>80.639765999999966</c:v>
                </c:pt>
                <c:pt idx="4">
                  <c:v>82.769200000000012</c:v>
                </c:pt>
                <c:pt idx="5">
                  <c:v>80.639765999999966</c:v>
                </c:pt>
              </c:numCache>
            </c:numRef>
          </c:val>
          <c:smooth val="0"/>
          <c:extLst>
            <c:ext xmlns:c16="http://schemas.microsoft.com/office/drawing/2014/chart" uri="{C3380CC4-5D6E-409C-BE32-E72D297353CC}">
              <c16:uniqueId val="{00000005-FDFC-4E57-B275-8E71A34F8ABF}"/>
            </c:ext>
          </c:extLst>
        </c:ser>
        <c:ser>
          <c:idx val="6"/>
          <c:order val="6"/>
          <c:tx>
            <c:v>z=-2</c:v>
          </c:tx>
          <c:spPr>
            <a:ln w="28575" cap="rnd">
              <a:solidFill>
                <a:srgbClr val="FF0000"/>
              </a:solidFill>
              <a:prstDash val="sysDash"/>
              <a:round/>
            </a:ln>
            <a:effectLst/>
          </c:spPr>
          <c:marker>
            <c:symbol val="none"/>
          </c:marker>
          <c:val>
            <c:numRef>
              <c:f>'Do Not Edit'!$B$107:$G$107</c:f>
              <c:numCache>
                <c:formatCode>General</c:formatCode>
                <c:ptCount val="6"/>
                <c:pt idx="0">
                  <c:v>75.406700000000001</c:v>
                </c:pt>
                <c:pt idx="1">
                  <c:v>73.139765999999966</c:v>
                </c:pt>
                <c:pt idx="2">
                  <c:v>73.139765999999966</c:v>
                </c:pt>
                <c:pt idx="3">
                  <c:v>73.139765999999966</c:v>
                </c:pt>
                <c:pt idx="4">
                  <c:v>75.269200000000012</c:v>
                </c:pt>
                <c:pt idx="5">
                  <c:v>73.139765999999966</c:v>
                </c:pt>
              </c:numCache>
            </c:numRef>
          </c:val>
          <c:smooth val="0"/>
          <c:extLst>
            <c:ext xmlns:c16="http://schemas.microsoft.com/office/drawing/2014/chart" uri="{C3380CC4-5D6E-409C-BE32-E72D297353CC}">
              <c16:uniqueId val="{00000006-FDFC-4E57-B275-8E71A34F8ABF}"/>
            </c:ext>
          </c:extLst>
        </c:ser>
        <c:dLbls>
          <c:showLegendKey val="0"/>
          <c:showVal val="0"/>
          <c:showCatName val="0"/>
          <c:showSerName val="0"/>
          <c:showPercent val="0"/>
          <c:showBubbleSize val="0"/>
        </c:dLbls>
        <c:marker val="1"/>
        <c:smooth val="0"/>
        <c:axId val="638275088"/>
        <c:axId val="471286720"/>
      </c:lineChart>
      <c:catAx>
        <c:axId val="63827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286720"/>
        <c:crosses val="autoZero"/>
        <c:auto val="1"/>
        <c:lblAlgn val="ctr"/>
        <c:lblOffset val="100"/>
        <c:noMultiLvlLbl val="0"/>
      </c:catAx>
      <c:valAx>
        <c:axId val="471286720"/>
        <c:scaling>
          <c:orientation val="minMax"/>
          <c:max val="150"/>
          <c:min val="4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275088"/>
        <c:crosses val="autoZero"/>
        <c:crossBetween val="between"/>
        <c:majorUnit val="5"/>
      </c:valAx>
      <c:spPr>
        <a:noFill/>
        <a:ln>
          <a:noFill/>
        </a:ln>
        <a:effectLst/>
      </c:spPr>
    </c:plotArea>
    <c:legend>
      <c:legendPos val="r"/>
      <c:legendEntry>
        <c:idx val="1"/>
        <c:delete val="1"/>
      </c:legendEntry>
      <c:legendEntry>
        <c:idx val="4"/>
        <c:delete val="1"/>
      </c:legendEntry>
      <c:layout>
        <c:manualLayout>
          <c:xMode val="edge"/>
          <c:yMode val="edge"/>
          <c:x val="0.73857834283863821"/>
          <c:y val="0.29646441253666822"/>
          <c:w val="0.251333386113614"/>
          <c:h val="0.356387550125391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RBANS (95%CI) T2 vs RBANS T1 vs Pre-Morbid Estimates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2"/>
          <c:order val="2"/>
          <c:tx>
            <c:v>Lower</c:v>
          </c:tx>
          <c:spPr>
            <a:noFill/>
            <a:ln>
              <a:noFill/>
              <a:prstDash val="dash"/>
            </a:ln>
            <a:effectLst/>
          </c:spPr>
          <c:val>
            <c:numRef>
              <c:f>'Do Not Edit'!$B$38:$G$38</c:f>
              <c:numCache>
                <c:formatCode>General</c:formatCode>
                <c:ptCount val="6"/>
                <c:pt idx="0">
                  <c:v>90.406700000000001</c:v>
                </c:pt>
                <c:pt idx="1">
                  <c:v>88.139765999999966</c:v>
                </c:pt>
                <c:pt idx="2">
                  <c:v>88.139765999999966</c:v>
                </c:pt>
                <c:pt idx="3">
                  <c:v>88.139765999999966</c:v>
                </c:pt>
                <c:pt idx="4">
                  <c:v>90.269200000000012</c:v>
                </c:pt>
                <c:pt idx="5">
                  <c:v>88.139765999999966</c:v>
                </c:pt>
              </c:numCache>
            </c:numRef>
          </c:val>
          <c:extLst>
            <c:ext xmlns:c16="http://schemas.microsoft.com/office/drawing/2014/chart" uri="{C3380CC4-5D6E-409C-BE32-E72D297353CC}">
              <c16:uniqueId val="{00000000-B518-4B57-A495-F4A11B8B09F1}"/>
            </c:ext>
          </c:extLst>
        </c:ser>
        <c:ser>
          <c:idx val="4"/>
          <c:order val="4"/>
          <c:tx>
            <c:v>Expected Performance Range (z+/-1)</c:v>
          </c:tx>
          <c:spPr>
            <a:solidFill>
              <a:schemeClr val="accent6">
                <a:lumMod val="40000"/>
                <a:lumOff val="60000"/>
                <a:alpha val="46000"/>
              </a:schemeClr>
            </a:solidFill>
            <a:ln>
              <a:noFill/>
            </a:ln>
            <a:effectLst/>
          </c:spPr>
          <c:val>
            <c:numRef>
              <c:f>'Do Not Edit'!$B$41:$G$41</c:f>
              <c:numCache>
                <c:formatCode>General</c:formatCode>
                <c:ptCount val="6"/>
                <c:pt idx="0">
                  <c:v>30</c:v>
                </c:pt>
                <c:pt idx="1">
                  <c:v>30</c:v>
                </c:pt>
                <c:pt idx="2">
                  <c:v>30</c:v>
                </c:pt>
                <c:pt idx="3">
                  <c:v>30</c:v>
                </c:pt>
                <c:pt idx="4">
                  <c:v>30</c:v>
                </c:pt>
                <c:pt idx="5">
                  <c:v>30</c:v>
                </c:pt>
              </c:numCache>
            </c:numRef>
          </c:val>
          <c:extLst>
            <c:ext xmlns:c16="http://schemas.microsoft.com/office/drawing/2014/chart" uri="{C3380CC4-5D6E-409C-BE32-E72D297353CC}">
              <c16:uniqueId val="{00000001-B518-4B57-A495-F4A11B8B09F1}"/>
            </c:ext>
          </c:extLst>
        </c:ser>
        <c:dLbls>
          <c:showLegendKey val="0"/>
          <c:showVal val="0"/>
          <c:showCatName val="0"/>
          <c:showSerName val="0"/>
          <c:showPercent val="0"/>
          <c:showBubbleSize val="0"/>
        </c:dLbls>
        <c:axId val="638275088"/>
        <c:axId val="471286720"/>
      </c:areaChart>
      <c:lineChart>
        <c:grouping val="standard"/>
        <c:varyColors val="0"/>
        <c:ser>
          <c:idx val="0"/>
          <c:order val="0"/>
          <c:tx>
            <c:v>RBANS</c:v>
          </c:tx>
          <c:spPr>
            <a:ln w="28575" cap="rnd">
              <a:solidFill>
                <a:srgbClr val="00B0F0"/>
              </a:solidFill>
              <a:round/>
            </a:ln>
            <a:effectLst/>
          </c:spPr>
          <c:marker>
            <c:symbol val="circle"/>
            <c:size val="5"/>
            <c:spPr>
              <a:solidFill>
                <a:schemeClr val="accent1"/>
              </a:solidFill>
              <a:ln w="19050">
                <a:solidFill>
                  <a:srgbClr val="00B0F0"/>
                </a:solidFill>
              </a:ln>
              <a:effectLst/>
            </c:spPr>
          </c:marker>
          <c:errBars>
            <c:errDir val="y"/>
            <c:errBarType val="both"/>
            <c:errValType val="cust"/>
            <c:noEndCap val="0"/>
            <c:plus>
              <c:numRef>
                <c:f>'Standard Tests'!$C$23:$C$28</c:f>
                <c:numCache>
                  <c:formatCode>General</c:formatCode>
                  <c:ptCount val="6"/>
                  <c:pt idx="0">
                    <c:v>10</c:v>
                  </c:pt>
                  <c:pt idx="1">
                    <c:v>10</c:v>
                  </c:pt>
                  <c:pt idx="2">
                    <c:v>10</c:v>
                  </c:pt>
                  <c:pt idx="3">
                    <c:v>10</c:v>
                  </c:pt>
                  <c:pt idx="4">
                    <c:v>10</c:v>
                  </c:pt>
                  <c:pt idx="5">
                    <c:v>7</c:v>
                  </c:pt>
                </c:numCache>
              </c:numRef>
            </c:plus>
            <c:minus>
              <c:numRef>
                <c:f>'Standard Tests'!$C$23:$C$28</c:f>
                <c:numCache>
                  <c:formatCode>General</c:formatCode>
                  <c:ptCount val="6"/>
                  <c:pt idx="0">
                    <c:v>10</c:v>
                  </c:pt>
                  <c:pt idx="1">
                    <c:v>10</c:v>
                  </c:pt>
                  <c:pt idx="2">
                    <c:v>10</c:v>
                  </c:pt>
                  <c:pt idx="3">
                    <c:v>10</c:v>
                  </c:pt>
                  <c:pt idx="4">
                    <c:v>10</c:v>
                  </c:pt>
                  <c:pt idx="5">
                    <c:v>7</c:v>
                  </c:pt>
                </c:numCache>
              </c:numRef>
            </c:minus>
            <c:spPr>
              <a:noFill/>
              <a:ln w="6350" cap="flat" cmpd="sng" algn="ctr">
                <a:solidFill>
                  <a:schemeClr val="tx1">
                    <a:lumMod val="65000"/>
                    <a:lumOff val="35000"/>
                  </a:schemeClr>
                </a:solidFill>
                <a:round/>
              </a:ln>
              <a:effectLst/>
            </c:spPr>
          </c:errBars>
          <c:cat>
            <c:strRef>
              <c:f>'Standard Tests'!$A$23:$A$28</c:f>
              <c:strCache>
                <c:ptCount val="6"/>
                <c:pt idx="0">
                  <c:v>Immediate Memory</c:v>
                </c:pt>
                <c:pt idx="1">
                  <c:v>VS/Constructional</c:v>
                </c:pt>
                <c:pt idx="2">
                  <c:v>Language</c:v>
                </c:pt>
                <c:pt idx="3">
                  <c:v>Attention</c:v>
                </c:pt>
                <c:pt idx="4">
                  <c:v>Delayed Memory </c:v>
                </c:pt>
                <c:pt idx="5">
                  <c:v>Total Scale</c:v>
                </c:pt>
              </c:strCache>
            </c:strRef>
          </c:cat>
          <c:val>
            <c:numRef>
              <c:f>'Standard Tests'!$B$23:$B$28</c:f>
              <c:numCache>
                <c:formatCode>General</c:formatCode>
                <c:ptCount val="6"/>
                <c:pt idx="0">
                  <c:v>109</c:v>
                </c:pt>
                <c:pt idx="1">
                  <c:v>50</c:v>
                </c:pt>
                <c:pt idx="2">
                  <c:v>60</c:v>
                </c:pt>
                <c:pt idx="3">
                  <c:v>64</c:v>
                </c:pt>
                <c:pt idx="4">
                  <c:v>75</c:v>
                </c:pt>
                <c:pt idx="5">
                  <c:v>64</c:v>
                </c:pt>
              </c:numCache>
            </c:numRef>
          </c:val>
          <c:smooth val="0"/>
          <c:extLst>
            <c:ext xmlns:c16="http://schemas.microsoft.com/office/drawing/2014/chart" uri="{C3380CC4-5D6E-409C-BE32-E72D297353CC}">
              <c16:uniqueId val="{00000002-B518-4B57-A495-F4A11B8B09F1}"/>
            </c:ext>
          </c:extLst>
        </c:ser>
        <c:ser>
          <c:idx val="1"/>
          <c:order val="1"/>
          <c:tx>
            <c:v>TOPF</c:v>
          </c:tx>
          <c:spPr>
            <a:ln w="28575" cap="rnd">
              <a:solidFill>
                <a:srgbClr val="00B050"/>
              </a:solidFill>
              <a:round/>
            </a:ln>
            <a:effectLst/>
          </c:spPr>
          <c:marker>
            <c:symbol val="circle"/>
            <c:size val="5"/>
            <c:spPr>
              <a:solidFill>
                <a:schemeClr val="accent2"/>
              </a:solidFill>
              <a:ln w="19050">
                <a:solidFill>
                  <a:srgbClr val="00B050"/>
                </a:solidFill>
              </a:ln>
              <a:effectLst/>
            </c:spPr>
          </c:marker>
          <c:val>
            <c:numRef>
              <c:f>'Do Not Edit'!$B$36:$G$36</c:f>
              <c:numCache>
                <c:formatCode>General</c:formatCode>
                <c:ptCount val="6"/>
                <c:pt idx="0">
                  <c:v>105.4067</c:v>
                </c:pt>
                <c:pt idx="1">
                  <c:v>103.13976599999997</c:v>
                </c:pt>
                <c:pt idx="2">
                  <c:v>103.13976599999997</c:v>
                </c:pt>
                <c:pt idx="3">
                  <c:v>103.13976599999997</c:v>
                </c:pt>
                <c:pt idx="4">
                  <c:v>105.26920000000001</c:v>
                </c:pt>
                <c:pt idx="5">
                  <c:v>103.13976599999997</c:v>
                </c:pt>
              </c:numCache>
            </c:numRef>
          </c:val>
          <c:smooth val="0"/>
          <c:extLst>
            <c:ext xmlns:c16="http://schemas.microsoft.com/office/drawing/2014/chart" uri="{C3380CC4-5D6E-409C-BE32-E72D297353CC}">
              <c16:uniqueId val="{00000003-B518-4B57-A495-F4A11B8B09F1}"/>
            </c:ext>
          </c:extLst>
        </c:ser>
        <c:ser>
          <c:idx val="3"/>
          <c:order val="3"/>
          <c:tx>
            <c:v>Upper</c:v>
          </c:tx>
          <c:spPr>
            <a:ln w="28575" cap="rnd">
              <a:noFill/>
              <a:round/>
            </a:ln>
            <a:effectLst/>
          </c:spPr>
          <c:marker>
            <c:symbol val="none"/>
          </c:marker>
          <c:val>
            <c:numRef>
              <c:f>'Do Not Edit'!$B$37:$G$37</c:f>
              <c:numCache>
                <c:formatCode>General</c:formatCode>
                <c:ptCount val="6"/>
                <c:pt idx="0">
                  <c:v>120.4067</c:v>
                </c:pt>
                <c:pt idx="1">
                  <c:v>118.13976599999997</c:v>
                </c:pt>
                <c:pt idx="2">
                  <c:v>118.13976599999997</c:v>
                </c:pt>
                <c:pt idx="3">
                  <c:v>118.13976599999997</c:v>
                </c:pt>
                <c:pt idx="4">
                  <c:v>120.26920000000001</c:v>
                </c:pt>
                <c:pt idx="5">
                  <c:v>118.13976599999997</c:v>
                </c:pt>
              </c:numCache>
            </c:numRef>
          </c:val>
          <c:smooth val="0"/>
          <c:extLst>
            <c:ext xmlns:c16="http://schemas.microsoft.com/office/drawing/2014/chart" uri="{C3380CC4-5D6E-409C-BE32-E72D297353CC}">
              <c16:uniqueId val="{00000004-B518-4B57-A495-F4A11B8B09F1}"/>
            </c:ext>
          </c:extLst>
        </c:ser>
        <c:ser>
          <c:idx val="5"/>
          <c:order val="5"/>
          <c:tx>
            <c:v>z=-1.5</c:v>
          </c:tx>
          <c:spPr>
            <a:ln w="19050" cap="rnd">
              <a:solidFill>
                <a:schemeClr val="accent2"/>
              </a:solidFill>
              <a:prstDash val="dash"/>
              <a:round/>
            </a:ln>
            <a:effectLst/>
          </c:spPr>
          <c:marker>
            <c:symbol val="none"/>
          </c:marker>
          <c:val>
            <c:numRef>
              <c:f>'Do Not Edit'!$B$39:$G$39</c:f>
              <c:numCache>
                <c:formatCode>General</c:formatCode>
                <c:ptCount val="6"/>
                <c:pt idx="0">
                  <c:v>82.906700000000001</c:v>
                </c:pt>
                <c:pt idx="1">
                  <c:v>80.639765999999966</c:v>
                </c:pt>
                <c:pt idx="2">
                  <c:v>80.639765999999966</c:v>
                </c:pt>
                <c:pt idx="3">
                  <c:v>80.639765999999966</c:v>
                </c:pt>
                <c:pt idx="4">
                  <c:v>82.769200000000012</c:v>
                </c:pt>
                <c:pt idx="5">
                  <c:v>80.639765999999966</c:v>
                </c:pt>
              </c:numCache>
            </c:numRef>
          </c:val>
          <c:smooth val="0"/>
          <c:extLst>
            <c:ext xmlns:c16="http://schemas.microsoft.com/office/drawing/2014/chart" uri="{C3380CC4-5D6E-409C-BE32-E72D297353CC}">
              <c16:uniqueId val="{00000005-B518-4B57-A495-F4A11B8B09F1}"/>
            </c:ext>
          </c:extLst>
        </c:ser>
        <c:ser>
          <c:idx val="6"/>
          <c:order val="6"/>
          <c:tx>
            <c:v>z=-2</c:v>
          </c:tx>
          <c:spPr>
            <a:ln w="19050" cap="rnd">
              <a:solidFill>
                <a:srgbClr val="FF0000"/>
              </a:solidFill>
              <a:prstDash val="dash"/>
              <a:round/>
            </a:ln>
            <a:effectLst/>
          </c:spPr>
          <c:marker>
            <c:symbol val="none"/>
          </c:marker>
          <c:val>
            <c:numRef>
              <c:f>'Do Not Edit'!$B$40:$G$40</c:f>
              <c:numCache>
                <c:formatCode>General</c:formatCode>
                <c:ptCount val="6"/>
                <c:pt idx="0">
                  <c:v>75.406700000000001</c:v>
                </c:pt>
                <c:pt idx="1">
                  <c:v>73.139765999999966</c:v>
                </c:pt>
                <c:pt idx="2">
                  <c:v>73.139765999999966</c:v>
                </c:pt>
                <c:pt idx="3">
                  <c:v>73.139765999999966</c:v>
                </c:pt>
                <c:pt idx="4">
                  <c:v>75.269200000000012</c:v>
                </c:pt>
                <c:pt idx="5">
                  <c:v>73.139765999999966</c:v>
                </c:pt>
              </c:numCache>
            </c:numRef>
          </c:val>
          <c:smooth val="0"/>
          <c:extLst>
            <c:ext xmlns:c16="http://schemas.microsoft.com/office/drawing/2014/chart" uri="{C3380CC4-5D6E-409C-BE32-E72D297353CC}">
              <c16:uniqueId val="{00000006-B518-4B57-A495-F4A11B8B09F1}"/>
            </c:ext>
          </c:extLst>
        </c:ser>
        <c:ser>
          <c:idx val="7"/>
          <c:order val="7"/>
          <c:tx>
            <c:v>Previous RBANS</c:v>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val>
            <c:numRef>
              <c:f>'RBANS Predicted Re-test Scores'!$B$25:$B$30</c:f>
              <c:numCache>
                <c:formatCode>General</c:formatCode>
                <c:ptCount val="6"/>
                <c:pt idx="0">
                  <c:v>78</c:v>
                </c:pt>
                <c:pt idx="1">
                  <c:v>66</c:v>
                </c:pt>
                <c:pt idx="2">
                  <c:v>84</c:v>
                </c:pt>
                <c:pt idx="3">
                  <c:v>82</c:v>
                </c:pt>
                <c:pt idx="4">
                  <c:v>81</c:v>
                </c:pt>
                <c:pt idx="5">
                  <c:v>72</c:v>
                </c:pt>
              </c:numCache>
            </c:numRef>
          </c:val>
          <c:smooth val="0"/>
          <c:extLst>
            <c:ext xmlns:c16="http://schemas.microsoft.com/office/drawing/2014/chart" uri="{C3380CC4-5D6E-409C-BE32-E72D297353CC}">
              <c16:uniqueId val="{00000007-B518-4B57-A495-F4A11B8B09F1}"/>
            </c:ext>
          </c:extLst>
        </c:ser>
        <c:dLbls>
          <c:showLegendKey val="0"/>
          <c:showVal val="0"/>
          <c:showCatName val="0"/>
          <c:showSerName val="0"/>
          <c:showPercent val="0"/>
          <c:showBubbleSize val="0"/>
        </c:dLbls>
        <c:marker val="1"/>
        <c:smooth val="0"/>
        <c:axId val="638275088"/>
        <c:axId val="471286720"/>
      </c:lineChart>
      <c:catAx>
        <c:axId val="63827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286720"/>
        <c:crosses val="autoZero"/>
        <c:auto val="1"/>
        <c:lblAlgn val="ctr"/>
        <c:lblOffset val="100"/>
        <c:noMultiLvlLbl val="0"/>
      </c:catAx>
      <c:valAx>
        <c:axId val="471286720"/>
        <c:scaling>
          <c:orientation val="minMax"/>
          <c:max val="150"/>
          <c:min val="4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275088"/>
        <c:crosses val="autoZero"/>
        <c:crossBetween val="between"/>
        <c:majorUnit val="5"/>
      </c:valAx>
      <c:spPr>
        <a:noFill/>
        <a:ln>
          <a:noFill/>
        </a:ln>
        <a:effectLst/>
      </c:spPr>
    </c:plotArea>
    <c:legend>
      <c:legendPos val="r"/>
      <c:legendEntry>
        <c:idx val="1"/>
        <c:delete val="1"/>
      </c:legendEntry>
      <c:legendEntry>
        <c:idx val="4"/>
        <c:delete val="1"/>
      </c:legendEntry>
      <c:layout>
        <c:manualLayout>
          <c:xMode val="edge"/>
          <c:yMode val="edge"/>
          <c:x val="0.73857834283863821"/>
          <c:y val="0.29646441253666822"/>
          <c:w val="0.26130366568534946"/>
          <c:h val="0.214287214098237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RBANS T2 vs RBANS T1 vs Norma</a:t>
            </a:r>
            <a:r>
              <a:rPr lang="en-GB" b="1" baseline="0"/>
              <a:t>l Expected Performance Range at T2</a:t>
            </a:r>
            <a:endParaRPr lang="en-GB"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6520579345112341E-2"/>
          <c:y val="7.8622151563328038E-2"/>
          <c:w val="0.66314682706899708"/>
          <c:h val="0.76946818054738386"/>
        </c:manualLayout>
      </c:layout>
      <c:areaChart>
        <c:grouping val="stacked"/>
        <c:varyColors val="0"/>
        <c:ser>
          <c:idx val="2"/>
          <c:order val="2"/>
          <c:tx>
            <c:v>Lower</c:v>
          </c:tx>
          <c:spPr>
            <a:solidFill>
              <a:schemeClr val="accent2">
                <a:lumMod val="60000"/>
                <a:lumOff val="40000"/>
                <a:alpha val="44000"/>
              </a:schemeClr>
            </a:solidFill>
            <a:ln w="25400">
              <a:noFill/>
            </a:ln>
            <a:effectLst/>
          </c:spPr>
          <c:val>
            <c:numRef>
              <c:f>'Do Not Edit'!$B$144:$G$144</c:f>
              <c:numCache>
                <c:formatCode>General</c:formatCode>
                <c:ptCount val="6"/>
                <c:pt idx="0">
                  <c:v>82.295950000000005</c:v>
                </c:pt>
                <c:pt idx="1">
                  <c:v>60.900650000000006</c:v>
                </c:pt>
                <c:pt idx="2">
                  <c:v>74.503199999999993</c:v>
                </c:pt>
                <c:pt idx="3">
                  <c:v>69.886949999999999</c:v>
                </c:pt>
                <c:pt idx="4">
                  <c:v>73.745299999999986</c:v>
                </c:pt>
                <c:pt idx="5">
                  <c:v>63.765450000000001</c:v>
                </c:pt>
              </c:numCache>
            </c:numRef>
          </c:val>
          <c:extLst>
            <c:ext xmlns:c16="http://schemas.microsoft.com/office/drawing/2014/chart" uri="{C3380CC4-5D6E-409C-BE32-E72D297353CC}">
              <c16:uniqueId val="{00000000-7A38-4CA0-957E-E1655BB5746A}"/>
            </c:ext>
          </c:extLst>
        </c:ser>
        <c:ser>
          <c:idx val="4"/>
          <c:order val="4"/>
          <c:tx>
            <c:v>Normal Re-test Performance Range at T2 (90%CI)</c:v>
          </c:tx>
          <c:spPr>
            <a:solidFill>
              <a:schemeClr val="accent6">
                <a:lumMod val="40000"/>
                <a:lumOff val="60000"/>
                <a:alpha val="40000"/>
              </a:schemeClr>
            </a:solidFill>
            <a:ln w="25400">
              <a:noFill/>
            </a:ln>
            <a:effectLst/>
          </c:spPr>
          <c:val>
            <c:numRef>
              <c:f>'Do Not Edit'!$B$147:$G$147</c:f>
              <c:numCache>
                <c:formatCode>General</c:formatCode>
                <c:ptCount val="6"/>
                <c:pt idx="0">
                  <c:v>35.828100000000006</c:v>
                </c:pt>
                <c:pt idx="1">
                  <c:v>46.158699999999989</c:v>
                </c:pt>
                <c:pt idx="2">
                  <c:v>32.37360000000001</c:v>
                </c:pt>
                <c:pt idx="3">
                  <c:v>43.066100000000006</c:v>
                </c:pt>
                <c:pt idx="4">
                  <c:v>35.729399999999998</c:v>
                </c:pt>
                <c:pt idx="5">
                  <c:v>38.789099999999991</c:v>
                </c:pt>
              </c:numCache>
            </c:numRef>
          </c:val>
          <c:extLst>
            <c:ext xmlns:c16="http://schemas.microsoft.com/office/drawing/2014/chart" uri="{C3380CC4-5D6E-409C-BE32-E72D297353CC}">
              <c16:uniqueId val="{00000001-7A38-4CA0-957E-E1655BB5746A}"/>
            </c:ext>
          </c:extLst>
        </c:ser>
        <c:dLbls>
          <c:showLegendKey val="0"/>
          <c:showVal val="0"/>
          <c:showCatName val="0"/>
          <c:showSerName val="0"/>
          <c:showPercent val="0"/>
          <c:showBubbleSize val="0"/>
        </c:dLbls>
        <c:axId val="638275088"/>
        <c:axId val="471286720"/>
      </c:areaChart>
      <c:lineChart>
        <c:grouping val="standard"/>
        <c:varyColors val="0"/>
        <c:ser>
          <c:idx val="0"/>
          <c:order val="0"/>
          <c:tx>
            <c:v>Re-test RBANS (T2)</c:v>
          </c:tx>
          <c:spPr>
            <a:ln w="28575" cap="rnd">
              <a:solidFill>
                <a:srgbClr val="00B0F0"/>
              </a:solidFill>
              <a:round/>
            </a:ln>
            <a:effectLst/>
          </c:spPr>
          <c:marker>
            <c:symbol val="circle"/>
            <c:size val="5"/>
            <c:spPr>
              <a:solidFill>
                <a:schemeClr val="accent1"/>
              </a:solidFill>
              <a:ln w="19050">
                <a:solidFill>
                  <a:srgbClr val="00B0F0"/>
                </a:solidFill>
              </a:ln>
              <a:effectLst/>
            </c:spPr>
          </c:marker>
          <c:cat>
            <c:strRef>
              <c:f>'Standard Tests'!$A$23:$A$28</c:f>
              <c:strCache>
                <c:ptCount val="6"/>
                <c:pt idx="0">
                  <c:v>Immediate Memory</c:v>
                </c:pt>
                <c:pt idx="1">
                  <c:v>VS/Constructional</c:v>
                </c:pt>
                <c:pt idx="2">
                  <c:v>Language</c:v>
                </c:pt>
                <c:pt idx="3">
                  <c:v>Attention</c:v>
                </c:pt>
                <c:pt idx="4">
                  <c:v>Delayed Memory </c:v>
                </c:pt>
                <c:pt idx="5">
                  <c:v>Total Scale</c:v>
                </c:pt>
              </c:strCache>
            </c:strRef>
          </c:cat>
          <c:val>
            <c:numRef>
              <c:f>'Standard Tests'!$B$23:$B$28</c:f>
              <c:numCache>
                <c:formatCode>General</c:formatCode>
                <c:ptCount val="6"/>
                <c:pt idx="0">
                  <c:v>109</c:v>
                </c:pt>
                <c:pt idx="1">
                  <c:v>50</c:v>
                </c:pt>
                <c:pt idx="2">
                  <c:v>60</c:v>
                </c:pt>
                <c:pt idx="3">
                  <c:v>64</c:v>
                </c:pt>
                <c:pt idx="4">
                  <c:v>75</c:v>
                </c:pt>
                <c:pt idx="5">
                  <c:v>64</c:v>
                </c:pt>
              </c:numCache>
            </c:numRef>
          </c:val>
          <c:smooth val="0"/>
          <c:extLst>
            <c:ext xmlns:c16="http://schemas.microsoft.com/office/drawing/2014/chart" uri="{C3380CC4-5D6E-409C-BE32-E72D297353CC}">
              <c16:uniqueId val="{00000002-7A38-4CA0-957E-E1655BB5746A}"/>
            </c:ext>
          </c:extLst>
        </c:ser>
        <c:ser>
          <c:idx val="1"/>
          <c:order val="1"/>
          <c:tx>
            <c:v>Predicted Re-test Score (T2)</c:v>
          </c:tx>
          <c:spPr>
            <a:ln w="28575" cap="rnd">
              <a:solidFill>
                <a:schemeClr val="accent2"/>
              </a:solidFill>
              <a:prstDash val="dash"/>
              <a:round/>
            </a:ln>
            <a:effectLst/>
          </c:spPr>
          <c:marker>
            <c:symbol val="circle"/>
            <c:size val="5"/>
            <c:spPr>
              <a:solidFill>
                <a:schemeClr val="accent2"/>
              </a:solidFill>
              <a:ln w="19050">
                <a:solidFill>
                  <a:srgbClr val="00B050"/>
                </a:solidFill>
                <a:prstDash val="dash"/>
              </a:ln>
              <a:effectLst/>
            </c:spPr>
          </c:marker>
          <c:val>
            <c:numRef>
              <c:f>'Do Not Edit'!$B$142:$G$142</c:f>
              <c:numCache>
                <c:formatCode>General</c:formatCode>
                <c:ptCount val="6"/>
                <c:pt idx="0">
                  <c:v>100.21000000000001</c:v>
                </c:pt>
                <c:pt idx="1">
                  <c:v>83.98</c:v>
                </c:pt>
                <c:pt idx="2">
                  <c:v>90.69</c:v>
                </c:pt>
                <c:pt idx="3">
                  <c:v>91.42</c:v>
                </c:pt>
                <c:pt idx="4">
                  <c:v>91.609999999999985</c:v>
                </c:pt>
                <c:pt idx="5">
                  <c:v>83.16</c:v>
                </c:pt>
              </c:numCache>
            </c:numRef>
          </c:val>
          <c:smooth val="0"/>
          <c:extLst>
            <c:ext xmlns:c16="http://schemas.microsoft.com/office/drawing/2014/chart" uri="{C3380CC4-5D6E-409C-BE32-E72D297353CC}">
              <c16:uniqueId val="{00000003-7A38-4CA0-957E-E1655BB5746A}"/>
            </c:ext>
          </c:extLst>
        </c:ser>
        <c:ser>
          <c:idx val="7"/>
          <c:order val="7"/>
          <c:tx>
            <c:v>Previous RBANS (T1)</c:v>
          </c:tx>
          <c:spPr>
            <a:ln w="28575" cap="rnd">
              <a:solidFill>
                <a:schemeClr val="accent2">
                  <a:lumMod val="60000"/>
                </a:schemeClr>
              </a:solidFill>
              <a:prstDash val="sysDash"/>
              <a:round/>
            </a:ln>
            <a:effectLst/>
          </c:spPr>
          <c:marker>
            <c:symbol val="circle"/>
            <c:size val="5"/>
            <c:spPr>
              <a:solidFill>
                <a:schemeClr val="accent2">
                  <a:lumMod val="60000"/>
                </a:schemeClr>
              </a:solidFill>
              <a:ln w="9525">
                <a:solidFill>
                  <a:schemeClr val="accent2">
                    <a:lumMod val="60000"/>
                  </a:schemeClr>
                </a:solidFill>
                <a:prstDash val="sysDash"/>
              </a:ln>
              <a:effectLst/>
            </c:spPr>
          </c:marker>
          <c:val>
            <c:numRef>
              <c:f>'RBANS Predicted Re-test Scores'!$B$25:$B$30</c:f>
              <c:numCache>
                <c:formatCode>General</c:formatCode>
                <c:ptCount val="6"/>
                <c:pt idx="0">
                  <c:v>78</c:v>
                </c:pt>
                <c:pt idx="1">
                  <c:v>66</c:v>
                </c:pt>
                <c:pt idx="2">
                  <c:v>84</c:v>
                </c:pt>
                <c:pt idx="3">
                  <c:v>82</c:v>
                </c:pt>
                <c:pt idx="4">
                  <c:v>81</c:v>
                </c:pt>
                <c:pt idx="5">
                  <c:v>72</c:v>
                </c:pt>
              </c:numCache>
            </c:numRef>
          </c:val>
          <c:smooth val="0"/>
          <c:extLst>
            <c:ext xmlns:c16="http://schemas.microsoft.com/office/drawing/2014/chart" uri="{C3380CC4-5D6E-409C-BE32-E72D297353CC}">
              <c16:uniqueId val="{00000007-7A38-4CA0-957E-E1655BB5746A}"/>
            </c:ext>
          </c:extLst>
        </c:ser>
        <c:dLbls>
          <c:showLegendKey val="0"/>
          <c:showVal val="0"/>
          <c:showCatName val="0"/>
          <c:showSerName val="0"/>
          <c:showPercent val="0"/>
          <c:showBubbleSize val="0"/>
        </c:dLbls>
        <c:marker val="1"/>
        <c:smooth val="0"/>
        <c:axId val="638275088"/>
        <c:axId val="471286720"/>
        <c:extLst>
          <c:ext xmlns:c15="http://schemas.microsoft.com/office/drawing/2012/chart" uri="{02D57815-91ED-43cb-92C2-25804820EDAC}">
            <c15:filteredLineSeries>
              <c15:ser>
                <c:idx val="3"/>
                <c:order val="3"/>
                <c:tx>
                  <c:v>Upper</c:v>
                </c:tx>
                <c:spPr>
                  <a:ln w="28575" cap="rnd">
                    <a:solidFill>
                      <a:schemeClr val="accent4"/>
                    </a:solidFill>
                    <a:round/>
                  </a:ln>
                  <a:effectLst/>
                </c:spPr>
                <c:marker>
                  <c:symbol val="none"/>
                </c:marker>
                <c:val>
                  <c:numRef>
                    <c:extLst>
                      <c:ext uri="{02D57815-91ED-43cb-92C2-25804820EDAC}">
                        <c15:formulaRef>
                          <c15:sqref>'Do Not Edit'!$B$143:$G$143</c15:sqref>
                        </c15:formulaRef>
                      </c:ext>
                    </c:extLst>
                    <c:numCache>
                      <c:formatCode>General</c:formatCode>
                      <c:ptCount val="6"/>
                      <c:pt idx="0">
                        <c:v>118.12405000000001</c:v>
                      </c:pt>
                      <c:pt idx="1">
                        <c:v>107.05934999999999</c:v>
                      </c:pt>
                      <c:pt idx="2">
                        <c:v>106.8768</c:v>
                      </c:pt>
                      <c:pt idx="3">
                        <c:v>112.95305</c:v>
                      </c:pt>
                      <c:pt idx="4">
                        <c:v>109.47469999999998</c:v>
                      </c:pt>
                      <c:pt idx="5">
                        <c:v>102.55454999999999</c:v>
                      </c:pt>
                    </c:numCache>
                  </c:numRef>
                </c:val>
                <c:smooth val="0"/>
                <c:extLst>
                  <c:ext xmlns:c16="http://schemas.microsoft.com/office/drawing/2014/chart" uri="{C3380CC4-5D6E-409C-BE32-E72D297353CC}">
                    <c16:uniqueId val="{00000004-7A38-4CA0-957E-E1655BB5746A}"/>
                  </c:ext>
                </c:extLst>
              </c15:ser>
            </c15:filteredLineSeries>
            <c15:filteredLineSeries>
              <c15:ser>
                <c:idx val="5"/>
                <c:order val="5"/>
                <c:tx>
                  <c:v>z=-1.5</c:v>
                </c:tx>
                <c:spPr>
                  <a:ln w="19050" cap="rnd">
                    <a:solidFill>
                      <a:schemeClr val="accent2"/>
                    </a:solidFill>
                    <a:prstDash val="dash"/>
                    <a:round/>
                  </a:ln>
                  <a:effectLst/>
                </c:spPr>
                <c:marker>
                  <c:symbol val="none"/>
                </c:marker>
                <c:val>
                  <c:numRef>
                    <c:extLst xmlns:c15="http://schemas.microsoft.com/office/drawing/2012/chart">
                      <c:ext xmlns:c15="http://schemas.microsoft.com/office/drawing/2012/chart" uri="{02D57815-91ED-43cb-92C2-25804820EDAC}">
                        <c15:formulaRef>
                          <c15:sqref>'Do Not Edit'!$B$39:$G$39</c15:sqref>
                        </c15:formulaRef>
                      </c:ext>
                    </c:extLst>
                    <c:numCache>
                      <c:formatCode>General</c:formatCode>
                      <c:ptCount val="6"/>
                      <c:pt idx="0">
                        <c:v>82.906700000000001</c:v>
                      </c:pt>
                      <c:pt idx="1">
                        <c:v>80.639765999999966</c:v>
                      </c:pt>
                      <c:pt idx="2">
                        <c:v>80.639765999999966</c:v>
                      </c:pt>
                      <c:pt idx="3">
                        <c:v>80.639765999999966</c:v>
                      </c:pt>
                      <c:pt idx="4">
                        <c:v>82.769200000000012</c:v>
                      </c:pt>
                      <c:pt idx="5">
                        <c:v>80.639765999999966</c:v>
                      </c:pt>
                    </c:numCache>
                  </c:numRef>
                </c:val>
                <c:smooth val="0"/>
                <c:extLst xmlns:c15="http://schemas.microsoft.com/office/drawing/2012/chart">
                  <c:ext xmlns:c16="http://schemas.microsoft.com/office/drawing/2014/chart" uri="{C3380CC4-5D6E-409C-BE32-E72D297353CC}">
                    <c16:uniqueId val="{00000005-7A38-4CA0-957E-E1655BB5746A}"/>
                  </c:ext>
                </c:extLst>
              </c15:ser>
            </c15:filteredLineSeries>
            <c15:filteredLineSeries>
              <c15:ser>
                <c:idx val="6"/>
                <c:order val="6"/>
                <c:tx>
                  <c:v>z=-2</c:v>
                </c:tx>
                <c:spPr>
                  <a:ln w="19050" cap="rnd">
                    <a:solidFill>
                      <a:srgbClr val="FF0000"/>
                    </a:solidFill>
                    <a:prstDash val="dash"/>
                    <a:round/>
                  </a:ln>
                  <a:effectLst/>
                </c:spPr>
                <c:marker>
                  <c:symbol val="none"/>
                </c:marker>
                <c:val>
                  <c:numRef>
                    <c:extLst xmlns:c15="http://schemas.microsoft.com/office/drawing/2012/chart">
                      <c:ext xmlns:c15="http://schemas.microsoft.com/office/drawing/2012/chart" uri="{02D57815-91ED-43cb-92C2-25804820EDAC}">
                        <c15:formulaRef>
                          <c15:sqref>'Do Not Edit'!$B$40:$G$40</c15:sqref>
                        </c15:formulaRef>
                      </c:ext>
                    </c:extLst>
                    <c:numCache>
                      <c:formatCode>General</c:formatCode>
                      <c:ptCount val="6"/>
                      <c:pt idx="0">
                        <c:v>75.406700000000001</c:v>
                      </c:pt>
                      <c:pt idx="1">
                        <c:v>73.139765999999966</c:v>
                      </c:pt>
                      <c:pt idx="2">
                        <c:v>73.139765999999966</c:v>
                      </c:pt>
                      <c:pt idx="3">
                        <c:v>73.139765999999966</c:v>
                      </c:pt>
                      <c:pt idx="4">
                        <c:v>75.269200000000012</c:v>
                      </c:pt>
                      <c:pt idx="5">
                        <c:v>73.139765999999966</c:v>
                      </c:pt>
                    </c:numCache>
                  </c:numRef>
                </c:val>
                <c:smooth val="0"/>
                <c:extLst xmlns:c15="http://schemas.microsoft.com/office/drawing/2012/chart">
                  <c:ext xmlns:c16="http://schemas.microsoft.com/office/drawing/2014/chart" uri="{C3380CC4-5D6E-409C-BE32-E72D297353CC}">
                    <c16:uniqueId val="{00000006-7A38-4CA0-957E-E1655BB5746A}"/>
                  </c:ext>
                </c:extLst>
              </c15:ser>
            </c15:filteredLineSeries>
          </c:ext>
        </c:extLst>
      </c:lineChart>
      <c:catAx>
        <c:axId val="63827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286720"/>
        <c:crosses val="autoZero"/>
        <c:auto val="1"/>
        <c:lblAlgn val="ctr"/>
        <c:lblOffset val="100"/>
        <c:noMultiLvlLbl val="0"/>
      </c:catAx>
      <c:valAx>
        <c:axId val="471286720"/>
        <c:scaling>
          <c:orientation val="minMax"/>
          <c:max val="150"/>
          <c:min val="4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275088"/>
        <c:crosses val="autoZero"/>
        <c:crossBetween val="between"/>
        <c:majorUnit val="5"/>
      </c:valAx>
      <c:spPr>
        <a:noFill/>
        <a:ln>
          <a:noFill/>
        </a:ln>
        <a:effectLst/>
      </c:spPr>
    </c:plotArea>
    <c:legend>
      <c:legendPos val="r"/>
      <c:legendEntry>
        <c:idx val="1"/>
        <c:delete val="1"/>
      </c:legendEntry>
      <c:layout>
        <c:manualLayout>
          <c:xMode val="edge"/>
          <c:yMode val="edge"/>
          <c:x val="0.73857834283863821"/>
          <c:y val="0.29646441253666822"/>
          <c:w val="0.26130366568534946"/>
          <c:h val="0.2146278932939423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MSVT Profiles</a:t>
            </a:r>
            <a:r>
              <a:rPr lang="en-GB" b="1" baseline="0"/>
              <a:t> with comparison to Simulators and Dementia Profiles</a:t>
            </a:r>
            <a:endParaRPr lang="en-GB" b="1"/>
          </a:p>
        </c:rich>
      </c:tx>
      <c:layout>
        <c:manualLayout>
          <c:xMode val="edge"/>
          <c:yMode val="edge"/>
          <c:x val="0.11040877534890456"/>
          <c:y val="1.578531965272296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4"/>
          <c:order val="4"/>
          <c:tx>
            <c:strRef>
              <c:f>'Do Not Edit'!$A$161</c:f>
              <c:strCache>
                <c:ptCount val="1"/>
                <c:pt idx="0">
                  <c:v>Malingering Level Performance</c:v>
                </c:pt>
              </c:strCache>
            </c:strRef>
          </c:tx>
          <c:spPr>
            <a:solidFill>
              <a:srgbClr val="FF5050">
                <a:alpha val="78000"/>
              </a:srgbClr>
            </a:solidFill>
            <a:ln>
              <a:noFill/>
            </a:ln>
            <a:effectLst/>
          </c:spPr>
          <c:val>
            <c:numRef>
              <c:f>'Do Not Edit'!$C$161:$E$161</c:f>
              <c:numCache>
                <c:formatCode>General</c:formatCode>
                <c:ptCount val="3"/>
                <c:pt idx="0">
                  <c:v>30</c:v>
                </c:pt>
                <c:pt idx="1">
                  <c:v>30</c:v>
                </c:pt>
                <c:pt idx="2">
                  <c:v>30</c:v>
                </c:pt>
              </c:numCache>
            </c:numRef>
          </c:val>
          <c:extLst>
            <c:ext xmlns:c16="http://schemas.microsoft.com/office/drawing/2014/chart" uri="{C3380CC4-5D6E-409C-BE32-E72D297353CC}">
              <c16:uniqueId val="{0000000A-99AD-485E-8354-720950FCBAB2}"/>
            </c:ext>
          </c:extLst>
        </c:ser>
        <c:ser>
          <c:idx val="5"/>
          <c:order val="5"/>
          <c:tx>
            <c:strRef>
              <c:f>'Do Not Edit'!$A$162</c:f>
              <c:strCache>
                <c:ptCount val="1"/>
                <c:pt idx="0">
                  <c:v>Total Dependence Level Performance</c:v>
                </c:pt>
              </c:strCache>
            </c:strRef>
          </c:tx>
          <c:spPr>
            <a:solidFill>
              <a:schemeClr val="accent2">
                <a:alpha val="71000"/>
              </a:schemeClr>
            </a:solidFill>
            <a:ln>
              <a:solidFill>
                <a:schemeClr val="tx1">
                  <a:lumMod val="15000"/>
                  <a:lumOff val="85000"/>
                  <a:alpha val="68000"/>
                </a:schemeClr>
              </a:solidFill>
            </a:ln>
            <a:effectLst/>
          </c:spPr>
          <c:val>
            <c:numRef>
              <c:f>'Do Not Edit'!$C$162:$E$162</c:f>
              <c:numCache>
                <c:formatCode>General</c:formatCode>
                <c:ptCount val="3"/>
                <c:pt idx="0">
                  <c:v>40</c:v>
                </c:pt>
                <c:pt idx="1">
                  <c:v>40</c:v>
                </c:pt>
                <c:pt idx="2">
                  <c:v>40</c:v>
                </c:pt>
              </c:numCache>
            </c:numRef>
          </c:val>
          <c:extLst>
            <c:ext xmlns:c16="http://schemas.microsoft.com/office/drawing/2014/chart" uri="{C3380CC4-5D6E-409C-BE32-E72D297353CC}">
              <c16:uniqueId val="{0000000B-99AD-485E-8354-720950FCBAB2}"/>
            </c:ext>
          </c:extLst>
        </c:ser>
        <c:ser>
          <c:idx val="6"/>
          <c:order val="6"/>
          <c:tx>
            <c:strRef>
              <c:f>'Do Not Edit'!$A$163</c:f>
              <c:strCache>
                <c:ptCount val="1"/>
                <c:pt idx="0">
                  <c:v>Criterion A Fail</c:v>
                </c:pt>
              </c:strCache>
            </c:strRef>
          </c:tx>
          <c:spPr>
            <a:solidFill>
              <a:schemeClr val="accent4">
                <a:alpha val="42000"/>
              </a:schemeClr>
            </a:solidFill>
            <a:ln>
              <a:noFill/>
            </a:ln>
            <a:effectLst/>
          </c:spPr>
          <c:val>
            <c:numRef>
              <c:f>'Do Not Edit'!$C$163:$E$163</c:f>
              <c:numCache>
                <c:formatCode>General</c:formatCode>
                <c:ptCount val="3"/>
                <c:pt idx="0">
                  <c:v>14</c:v>
                </c:pt>
                <c:pt idx="1">
                  <c:v>14</c:v>
                </c:pt>
                <c:pt idx="2">
                  <c:v>14</c:v>
                </c:pt>
              </c:numCache>
            </c:numRef>
          </c:val>
          <c:extLst>
            <c:ext xmlns:c16="http://schemas.microsoft.com/office/drawing/2014/chart" uri="{C3380CC4-5D6E-409C-BE32-E72D297353CC}">
              <c16:uniqueId val="{0000000C-99AD-485E-8354-720950FCBAB2}"/>
            </c:ext>
          </c:extLst>
        </c:ser>
        <c:dLbls>
          <c:showLegendKey val="0"/>
          <c:showVal val="0"/>
          <c:showCatName val="0"/>
          <c:showSerName val="0"/>
          <c:showPercent val="0"/>
          <c:showBubbleSize val="0"/>
        </c:dLbls>
        <c:axId val="631390016"/>
        <c:axId val="631386080"/>
      </c:areaChart>
      <c:lineChart>
        <c:grouping val="standard"/>
        <c:varyColors val="0"/>
        <c:ser>
          <c:idx val="0"/>
          <c:order val="0"/>
          <c:tx>
            <c:v>Patient</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'Do Not Edit'!$C$154:$G$154</c:f>
              <c:strCache>
                <c:ptCount val="5"/>
                <c:pt idx="0">
                  <c:v>IR</c:v>
                </c:pt>
                <c:pt idx="1">
                  <c:v>DR</c:v>
                </c:pt>
                <c:pt idx="2">
                  <c:v>CNS</c:v>
                </c:pt>
                <c:pt idx="3">
                  <c:v>PA</c:v>
                </c:pt>
                <c:pt idx="4">
                  <c:v>FR</c:v>
                </c:pt>
              </c:strCache>
            </c:strRef>
          </c:cat>
          <c:val>
            <c:numRef>
              <c:f>'Do Not Edit'!$C$156:$G$156</c:f>
              <c:numCache>
                <c:formatCode>General</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6-99AD-485E-8354-720950FCBAB2}"/>
            </c:ext>
          </c:extLst>
        </c:ser>
        <c:ser>
          <c:idx val="1"/>
          <c:order val="1"/>
          <c:tx>
            <c:v>Simulators</c:v>
          </c:tx>
          <c:spPr>
            <a:ln w="28575" cap="rnd">
              <a:solidFill>
                <a:srgbClr val="00B050"/>
              </a:solidFill>
              <a:prstDash val="sysDot"/>
              <a:round/>
            </a:ln>
            <a:effectLst/>
          </c:spPr>
          <c:marker>
            <c:symbol val="circle"/>
            <c:size val="5"/>
            <c:spPr>
              <a:solidFill>
                <a:schemeClr val="accent2"/>
              </a:solidFill>
              <a:ln w="9525">
                <a:solidFill>
                  <a:srgbClr val="00B050"/>
                </a:solidFill>
                <a:prstDash val="sysDot"/>
              </a:ln>
              <a:effectLst/>
            </c:spPr>
          </c:marker>
          <c:cat>
            <c:strRef>
              <c:f>'Do Not Edit'!$C$154:$G$154</c:f>
              <c:strCache>
                <c:ptCount val="5"/>
                <c:pt idx="0">
                  <c:v>IR</c:v>
                </c:pt>
                <c:pt idx="1">
                  <c:v>DR</c:v>
                </c:pt>
                <c:pt idx="2">
                  <c:v>CNS</c:v>
                </c:pt>
                <c:pt idx="3">
                  <c:v>PA</c:v>
                </c:pt>
                <c:pt idx="4">
                  <c:v>FR</c:v>
                </c:pt>
              </c:strCache>
            </c:strRef>
          </c:cat>
          <c:val>
            <c:numRef>
              <c:f>'Do Not Edit'!$C$157:$G$157</c:f>
              <c:numCache>
                <c:formatCode>General</c:formatCode>
                <c:ptCount val="5"/>
                <c:pt idx="0">
                  <c:v>60</c:v>
                </c:pt>
                <c:pt idx="1">
                  <c:v>60</c:v>
                </c:pt>
                <c:pt idx="2">
                  <c:v>49</c:v>
                </c:pt>
                <c:pt idx="3">
                  <c:v>51</c:v>
                </c:pt>
                <c:pt idx="4">
                  <c:v>37</c:v>
                </c:pt>
              </c:numCache>
            </c:numRef>
          </c:val>
          <c:smooth val="0"/>
          <c:extLst>
            <c:ext xmlns:c16="http://schemas.microsoft.com/office/drawing/2014/chart" uri="{C3380CC4-5D6E-409C-BE32-E72D297353CC}">
              <c16:uniqueId val="{00000007-99AD-485E-8354-720950FCBAB2}"/>
            </c:ext>
          </c:extLst>
        </c:ser>
        <c:ser>
          <c:idx val="2"/>
          <c:order val="2"/>
          <c:tx>
            <c:strRef>
              <c:f>'Do Not Edit'!$A$158</c:f>
              <c:strCache>
                <c:ptCount val="1"/>
                <c:pt idx="0">
                  <c:v>Advanced Dementia</c:v>
                </c:pt>
              </c:strCache>
            </c:strRef>
          </c:tx>
          <c:spPr>
            <a:ln w="28575" cap="rnd">
              <a:solidFill>
                <a:srgbClr val="FF0000"/>
              </a:solidFill>
              <a:prstDash val="sysDot"/>
              <a:round/>
            </a:ln>
            <a:effectLst/>
          </c:spPr>
          <c:marker>
            <c:symbol val="circle"/>
            <c:size val="5"/>
            <c:spPr>
              <a:solidFill>
                <a:schemeClr val="accent3"/>
              </a:solidFill>
              <a:ln w="9525">
                <a:solidFill>
                  <a:srgbClr val="FF0000"/>
                </a:solidFill>
                <a:prstDash val="sysDot"/>
              </a:ln>
              <a:effectLst/>
            </c:spPr>
          </c:marker>
          <c:cat>
            <c:strRef>
              <c:f>'Do Not Edit'!$C$154:$G$154</c:f>
              <c:strCache>
                <c:ptCount val="5"/>
                <c:pt idx="0">
                  <c:v>IR</c:v>
                </c:pt>
                <c:pt idx="1">
                  <c:v>DR</c:v>
                </c:pt>
                <c:pt idx="2">
                  <c:v>CNS</c:v>
                </c:pt>
                <c:pt idx="3">
                  <c:v>PA</c:v>
                </c:pt>
                <c:pt idx="4">
                  <c:v>FR</c:v>
                </c:pt>
              </c:strCache>
            </c:strRef>
          </c:cat>
          <c:val>
            <c:numRef>
              <c:f>'Do Not Edit'!$C$158:$G$158</c:f>
              <c:numCache>
                <c:formatCode>General</c:formatCode>
                <c:ptCount val="5"/>
                <c:pt idx="0">
                  <c:v>77</c:v>
                </c:pt>
                <c:pt idx="1">
                  <c:v>78</c:v>
                </c:pt>
                <c:pt idx="2">
                  <c:v>75</c:v>
                </c:pt>
                <c:pt idx="3">
                  <c:v>46</c:v>
                </c:pt>
                <c:pt idx="4">
                  <c:v>12</c:v>
                </c:pt>
              </c:numCache>
            </c:numRef>
          </c:val>
          <c:smooth val="0"/>
          <c:extLst>
            <c:ext xmlns:c16="http://schemas.microsoft.com/office/drawing/2014/chart" uri="{C3380CC4-5D6E-409C-BE32-E72D297353CC}">
              <c16:uniqueId val="{00000008-99AD-485E-8354-720950FCBAB2}"/>
            </c:ext>
          </c:extLst>
        </c:ser>
        <c:ser>
          <c:idx val="3"/>
          <c:order val="3"/>
          <c:tx>
            <c:strRef>
              <c:f>'Do Not Edit'!$A$159</c:f>
              <c:strCache>
                <c:ptCount val="1"/>
                <c:pt idx="0">
                  <c:v>Early Dementia</c:v>
                </c:pt>
              </c:strCache>
            </c:strRef>
          </c:tx>
          <c:spPr>
            <a:ln w="28575" cap="rnd">
              <a:solidFill>
                <a:schemeClr val="accent2">
                  <a:lumMod val="75000"/>
                </a:schemeClr>
              </a:solidFill>
              <a:prstDash val="sysDot"/>
              <a:round/>
            </a:ln>
            <a:effectLst/>
          </c:spPr>
          <c:marker>
            <c:symbol val="circle"/>
            <c:size val="5"/>
            <c:spPr>
              <a:solidFill>
                <a:schemeClr val="accent4"/>
              </a:solidFill>
              <a:ln w="9525">
                <a:solidFill>
                  <a:schemeClr val="accent2">
                    <a:lumMod val="75000"/>
                  </a:schemeClr>
                </a:solidFill>
                <a:prstDash val="sysDot"/>
              </a:ln>
              <a:effectLst/>
            </c:spPr>
          </c:marker>
          <c:cat>
            <c:strRef>
              <c:f>'Do Not Edit'!$C$154:$G$154</c:f>
              <c:strCache>
                <c:ptCount val="5"/>
                <c:pt idx="0">
                  <c:v>IR</c:v>
                </c:pt>
                <c:pt idx="1">
                  <c:v>DR</c:v>
                </c:pt>
                <c:pt idx="2">
                  <c:v>CNS</c:v>
                </c:pt>
                <c:pt idx="3">
                  <c:v>PA</c:v>
                </c:pt>
                <c:pt idx="4">
                  <c:v>FR</c:v>
                </c:pt>
              </c:strCache>
            </c:strRef>
          </c:cat>
          <c:val>
            <c:numRef>
              <c:f>'Do Not Edit'!$C$159:$G$159</c:f>
              <c:numCache>
                <c:formatCode>General</c:formatCode>
                <c:ptCount val="5"/>
                <c:pt idx="0">
                  <c:v>84</c:v>
                </c:pt>
                <c:pt idx="1">
                  <c:v>89</c:v>
                </c:pt>
                <c:pt idx="2">
                  <c:v>81</c:v>
                </c:pt>
                <c:pt idx="3">
                  <c:v>54</c:v>
                </c:pt>
                <c:pt idx="4">
                  <c:v>31</c:v>
                </c:pt>
              </c:numCache>
            </c:numRef>
          </c:val>
          <c:smooth val="0"/>
          <c:extLst>
            <c:ext xmlns:c16="http://schemas.microsoft.com/office/drawing/2014/chart" uri="{C3380CC4-5D6E-409C-BE32-E72D297353CC}">
              <c16:uniqueId val="{00000009-99AD-485E-8354-720950FCBAB2}"/>
            </c:ext>
          </c:extLst>
        </c:ser>
        <c:dLbls>
          <c:showLegendKey val="0"/>
          <c:showVal val="0"/>
          <c:showCatName val="0"/>
          <c:showSerName val="0"/>
          <c:showPercent val="0"/>
          <c:showBubbleSize val="0"/>
        </c:dLbls>
        <c:marker val="1"/>
        <c:smooth val="0"/>
        <c:axId val="631390016"/>
        <c:axId val="631386080"/>
      </c:lineChart>
      <c:catAx>
        <c:axId val="631390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Sub-Test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386080"/>
        <c:crosses val="autoZero"/>
        <c:auto val="1"/>
        <c:lblAlgn val="ctr"/>
        <c:lblOffset val="100"/>
        <c:noMultiLvlLbl val="0"/>
      </c:catAx>
      <c:valAx>
        <c:axId val="63138608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390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TOMM Trial Performance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597331814627624"/>
          <c:y val="0.11582222222222223"/>
          <c:w val="0.69694133999189323"/>
          <c:h val="0.82136809565470981"/>
        </c:manualLayout>
      </c:layout>
      <c:areaChart>
        <c:grouping val="stacked"/>
        <c:varyColors val="0"/>
        <c:ser>
          <c:idx val="4"/>
          <c:order val="1"/>
          <c:tx>
            <c:strRef>
              <c:f>'Do Not Edit'!$A$172</c:f>
              <c:strCache>
                <c:ptCount val="1"/>
                <c:pt idx="0">
                  <c:v>Malingering</c:v>
                </c:pt>
              </c:strCache>
            </c:strRef>
          </c:tx>
          <c:spPr>
            <a:solidFill>
              <a:srgbClr val="FF5050">
                <a:alpha val="56000"/>
              </a:srgbClr>
            </a:solidFill>
            <a:ln>
              <a:noFill/>
            </a:ln>
            <a:effectLst/>
          </c:spPr>
          <c:cat>
            <c:strRef>
              <c:f>'Do Not Edit'!$B$167:$F$167</c:f>
              <c:strCache>
                <c:ptCount val="4"/>
                <c:pt idx="1">
                  <c:v>T1</c:v>
                </c:pt>
                <c:pt idx="2">
                  <c:v>T2</c:v>
                </c:pt>
                <c:pt idx="3">
                  <c:v>DR</c:v>
                </c:pt>
              </c:strCache>
            </c:strRef>
          </c:cat>
          <c:val>
            <c:numRef>
              <c:f>'Do Not Edit'!$B$172:$F$172</c:f>
              <c:numCache>
                <c:formatCode>General</c:formatCode>
                <c:ptCount val="5"/>
                <c:pt idx="0">
                  <c:v>17</c:v>
                </c:pt>
                <c:pt idx="1">
                  <c:v>17</c:v>
                </c:pt>
                <c:pt idx="2">
                  <c:v>17</c:v>
                </c:pt>
                <c:pt idx="3">
                  <c:v>17</c:v>
                </c:pt>
                <c:pt idx="4">
                  <c:v>17</c:v>
                </c:pt>
              </c:numCache>
            </c:numRef>
          </c:val>
          <c:extLst>
            <c:ext xmlns:c16="http://schemas.microsoft.com/office/drawing/2014/chart" uri="{C3380CC4-5D6E-409C-BE32-E72D297353CC}">
              <c16:uniqueId val="{00000004-CDF7-4099-A629-02D132984103}"/>
            </c:ext>
          </c:extLst>
        </c:ser>
        <c:ser>
          <c:idx val="3"/>
          <c:order val="2"/>
          <c:tx>
            <c:strRef>
              <c:f>'Do Not Edit'!$A$171</c:f>
              <c:strCache>
                <c:ptCount val="1"/>
                <c:pt idx="0">
                  <c:v>Chance Level Performance</c:v>
                </c:pt>
              </c:strCache>
            </c:strRef>
          </c:tx>
          <c:spPr>
            <a:solidFill>
              <a:srgbClr val="FFC000">
                <a:alpha val="60000"/>
              </a:srgbClr>
            </a:solidFill>
            <a:ln>
              <a:noFill/>
            </a:ln>
            <a:effectLst/>
          </c:spPr>
          <c:cat>
            <c:strRef>
              <c:f>'Do Not Edit'!$B$167:$F$167</c:f>
              <c:strCache>
                <c:ptCount val="4"/>
                <c:pt idx="1">
                  <c:v>T1</c:v>
                </c:pt>
                <c:pt idx="2">
                  <c:v>T2</c:v>
                </c:pt>
                <c:pt idx="3">
                  <c:v>DR</c:v>
                </c:pt>
              </c:strCache>
            </c:strRef>
          </c:cat>
          <c:val>
            <c:numRef>
              <c:f>'Do Not Edit'!$B$171:$F$171</c:f>
              <c:numCache>
                <c:formatCode>General</c:formatCode>
                <c:ptCount val="5"/>
                <c:pt idx="0">
                  <c:v>14</c:v>
                </c:pt>
                <c:pt idx="1">
                  <c:v>14</c:v>
                </c:pt>
                <c:pt idx="2">
                  <c:v>14</c:v>
                </c:pt>
                <c:pt idx="3">
                  <c:v>14</c:v>
                </c:pt>
                <c:pt idx="4">
                  <c:v>14</c:v>
                </c:pt>
              </c:numCache>
            </c:numRef>
          </c:val>
          <c:extLst>
            <c:ext xmlns:c16="http://schemas.microsoft.com/office/drawing/2014/chart" uri="{C3380CC4-5D6E-409C-BE32-E72D297353CC}">
              <c16:uniqueId val="{00000003-CDF7-4099-A629-02D132984103}"/>
            </c:ext>
          </c:extLst>
        </c:ser>
        <c:ser>
          <c:idx val="2"/>
          <c:order val="3"/>
          <c:tx>
            <c:strRef>
              <c:f>'Do Not Edit'!$A$170</c:f>
              <c:strCache>
                <c:ptCount val="1"/>
                <c:pt idx="0">
                  <c:v>Above Chance - Clinical Judgement</c:v>
                </c:pt>
              </c:strCache>
            </c:strRef>
          </c:tx>
          <c:spPr>
            <a:solidFill>
              <a:srgbClr val="F4EED6">
                <a:alpha val="75686"/>
              </a:srgbClr>
            </a:solidFill>
            <a:ln>
              <a:noFill/>
            </a:ln>
            <a:effectLst/>
          </c:spPr>
          <c:cat>
            <c:strRef>
              <c:f>'Do Not Edit'!$B$167:$F$167</c:f>
              <c:strCache>
                <c:ptCount val="4"/>
                <c:pt idx="1">
                  <c:v>T1</c:v>
                </c:pt>
                <c:pt idx="2">
                  <c:v>T2</c:v>
                </c:pt>
                <c:pt idx="3">
                  <c:v>DR</c:v>
                </c:pt>
              </c:strCache>
            </c:strRef>
          </c:cat>
          <c:val>
            <c:numRef>
              <c:f>'Do Not Edit'!$B$170:$F$170</c:f>
              <c:numCache>
                <c:formatCode>General</c:formatCode>
                <c:ptCount val="5"/>
                <c:pt idx="0">
                  <c:v>14</c:v>
                </c:pt>
                <c:pt idx="1">
                  <c:v>14</c:v>
                </c:pt>
                <c:pt idx="2">
                  <c:v>14</c:v>
                </c:pt>
                <c:pt idx="3">
                  <c:v>14</c:v>
                </c:pt>
                <c:pt idx="4">
                  <c:v>14</c:v>
                </c:pt>
              </c:numCache>
            </c:numRef>
          </c:val>
          <c:extLst>
            <c:ext xmlns:c16="http://schemas.microsoft.com/office/drawing/2014/chart" uri="{C3380CC4-5D6E-409C-BE32-E72D297353CC}">
              <c16:uniqueId val="{00000002-CDF7-4099-A629-02D132984103}"/>
            </c:ext>
          </c:extLst>
        </c:ser>
        <c:ser>
          <c:idx val="1"/>
          <c:order val="4"/>
          <c:tx>
            <c:strRef>
              <c:f>'Do Not Edit'!$A$169</c:f>
              <c:strCache>
                <c:ptCount val="1"/>
                <c:pt idx="0">
                  <c:v>Pass</c:v>
                </c:pt>
              </c:strCache>
            </c:strRef>
          </c:tx>
          <c:spPr>
            <a:solidFill>
              <a:schemeClr val="accent5">
                <a:lumMod val="40000"/>
                <a:lumOff val="60000"/>
                <a:alpha val="60000"/>
              </a:schemeClr>
            </a:solidFill>
            <a:ln>
              <a:noFill/>
            </a:ln>
            <a:effectLst/>
          </c:spPr>
          <c:cat>
            <c:strRef>
              <c:f>'Do Not Edit'!$B$167:$F$167</c:f>
              <c:strCache>
                <c:ptCount val="4"/>
                <c:pt idx="1">
                  <c:v>T1</c:v>
                </c:pt>
                <c:pt idx="2">
                  <c:v>T2</c:v>
                </c:pt>
                <c:pt idx="3">
                  <c:v>DR</c:v>
                </c:pt>
              </c:strCache>
            </c:strRef>
          </c:cat>
          <c:val>
            <c:numRef>
              <c:f>'Do Not Edit'!$B$169:$F$169</c:f>
              <c:numCache>
                <c:formatCode>General</c:formatCode>
                <c:ptCount val="5"/>
                <c:pt idx="0">
                  <c:v>5</c:v>
                </c:pt>
                <c:pt idx="1">
                  <c:v>5</c:v>
                </c:pt>
                <c:pt idx="2">
                  <c:v>5</c:v>
                </c:pt>
                <c:pt idx="3">
                  <c:v>5</c:v>
                </c:pt>
                <c:pt idx="4">
                  <c:v>5</c:v>
                </c:pt>
              </c:numCache>
            </c:numRef>
          </c:val>
          <c:extLst>
            <c:ext xmlns:c16="http://schemas.microsoft.com/office/drawing/2014/chart" uri="{C3380CC4-5D6E-409C-BE32-E72D297353CC}">
              <c16:uniqueId val="{00000001-CDF7-4099-A629-02D132984103}"/>
            </c:ext>
          </c:extLst>
        </c:ser>
        <c:dLbls>
          <c:showLegendKey val="0"/>
          <c:showVal val="0"/>
          <c:showCatName val="0"/>
          <c:showSerName val="0"/>
          <c:showPercent val="0"/>
          <c:showBubbleSize val="0"/>
        </c:dLbls>
        <c:axId val="493392576"/>
        <c:axId val="493393408"/>
      </c:areaChart>
      <c:lineChart>
        <c:grouping val="standard"/>
        <c:varyColors val="0"/>
        <c:ser>
          <c:idx val="0"/>
          <c:order val="0"/>
          <c:tx>
            <c:strRef>
              <c:f>'Do Not Edit'!$A$168</c:f>
              <c:strCache>
                <c:ptCount val="1"/>
                <c:pt idx="0">
                  <c:v>Patient</c:v>
                </c:pt>
              </c:strCache>
            </c:strRef>
          </c:tx>
          <c:spPr>
            <a:ln w="12700" cap="rnd">
              <a:solidFill>
                <a:schemeClr val="accent1"/>
              </a:solidFill>
              <a:prstDash val="dash"/>
              <a:round/>
            </a:ln>
            <a:effectLst/>
          </c:spPr>
          <c:marker>
            <c:symbol val="x"/>
            <c:size val="11"/>
            <c:spPr>
              <a:noFill/>
              <a:ln w="38100">
                <a:solidFill>
                  <a:schemeClr val="accent1"/>
                </a:solidFill>
              </a:ln>
              <a:effectLst/>
            </c:spPr>
          </c:marker>
          <c:cat>
            <c:strRef>
              <c:f>'Do Not Edit'!$B$167:$F$167</c:f>
              <c:strCache>
                <c:ptCount val="4"/>
                <c:pt idx="1">
                  <c:v>T1</c:v>
                </c:pt>
                <c:pt idx="2">
                  <c:v>T2</c:v>
                </c:pt>
                <c:pt idx="3">
                  <c:v>DR</c:v>
                </c:pt>
              </c:strCache>
            </c:strRef>
          </c:cat>
          <c:val>
            <c:numRef>
              <c:f>'Do Not Edit'!$B$168:$F$168</c:f>
              <c:numCache>
                <c:formatCode>General</c:formatCode>
                <c:ptCount val="5"/>
                <c:pt idx="1">
                  <c:v>0</c:v>
                </c:pt>
                <c:pt idx="2">
                  <c:v>0</c:v>
                </c:pt>
                <c:pt idx="3">
                  <c:v>0</c:v>
                </c:pt>
              </c:numCache>
            </c:numRef>
          </c:val>
          <c:smooth val="0"/>
          <c:extLst>
            <c:ext xmlns:c16="http://schemas.microsoft.com/office/drawing/2014/chart" uri="{C3380CC4-5D6E-409C-BE32-E72D297353CC}">
              <c16:uniqueId val="{00000000-CDF7-4099-A629-02D132984103}"/>
            </c:ext>
          </c:extLst>
        </c:ser>
        <c:dLbls>
          <c:showLegendKey val="0"/>
          <c:showVal val="0"/>
          <c:showCatName val="0"/>
          <c:showSerName val="0"/>
          <c:showPercent val="0"/>
          <c:showBubbleSize val="0"/>
        </c:dLbls>
        <c:marker val="1"/>
        <c:smooth val="0"/>
        <c:axId val="493392576"/>
        <c:axId val="493393408"/>
      </c:lineChart>
      <c:catAx>
        <c:axId val="493392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393408"/>
        <c:crosses val="autoZero"/>
        <c:auto val="1"/>
        <c:lblAlgn val="ctr"/>
        <c:lblOffset val="100"/>
        <c:noMultiLvlLbl val="0"/>
      </c:catAx>
      <c:valAx>
        <c:axId val="493393408"/>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392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MSVT Profiles</a:t>
            </a:r>
            <a:r>
              <a:rPr lang="en-GB" b="1" baseline="0"/>
              <a:t> with comparison to Simulators and Dementia Profiles</a:t>
            </a:r>
            <a:endParaRPr lang="en-GB" b="1"/>
          </a:p>
        </c:rich>
      </c:tx>
      <c:layout>
        <c:manualLayout>
          <c:xMode val="edge"/>
          <c:yMode val="edge"/>
          <c:x val="0.11040877534890456"/>
          <c:y val="1.578531965272296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4"/>
          <c:order val="4"/>
          <c:tx>
            <c:strRef>
              <c:f>'Do Not Edit'!$A$161</c:f>
              <c:strCache>
                <c:ptCount val="1"/>
                <c:pt idx="0">
                  <c:v>Malingering Level Performance</c:v>
                </c:pt>
              </c:strCache>
            </c:strRef>
          </c:tx>
          <c:spPr>
            <a:solidFill>
              <a:srgbClr val="FF5050">
                <a:alpha val="78000"/>
              </a:srgbClr>
            </a:solidFill>
            <a:ln>
              <a:noFill/>
            </a:ln>
            <a:effectLst/>
          </c:spPr>
          <c:val>
            <c:numRef>
              <c:f>'Do Not Edit'!$C$161:$G$161</c:f>
              <c:numCache>
                <c:formatCode>General</c:formatCode>
                <c:ptCount val="5"/>
                <c:pt idx="0">
                  <c:v>30</c:v>
                </c:pt>
                <c:pt idx="1">
                  <c:v>30</c:v>
                </c:pt>
                <c:pt idx="2">
                  <c:v>30</c:v>
                </c:pt>
                <c:pt idx="3">
                  <c:v>-20</c:v>
                </c:pt>
                <c:pt idx="4">
                  <c:v>-20</c:v>
                </c:pt>
              </c:numCache>
            </c:numRef>
          </c:val>
          <c:extLst>
            <c:ext xmlns:c16="http://schemas.microsoft.com/office/drawing/2014/chart" uri="{C3380CC4-5D6E-409C-BE32-E72D297353CC}">
              <c16:uniqueId val="{00000000-5B28-4471-92E7-31F2A985459A}"/>
            </c:ext>
          </c:extLst>
        </c:ser>
        <c:ser>
          <c:idx val="5"/>
          <c:order val="5"/>
          <c:tx>
            <c:strRef>
              <c:f>'Do Not Edit'!$A$162</c:f>
              <c:strCache>
                <c:ptCount val="1"/>
                <c:pt idx="0">
                  <c:v>Total Dependence Level Performance</c:v>
                </c:pt>
              </c:strCache>
            </c:strRef>
          </c:tx>
          <c:spPr>
            <a:solidFill>
              <a:schemeClr val="accent2">
                <a:alpha val="54000"/>
              </a:schemeClr>
            </a:solidFill>
            <a:ln>
              <a:solidFill>
                <a:schemeClr val="tx1">
                  <a:lumMod val="15000"/>
                  <a:lumOff val="85000"/>
                  <a:alpha val="68000"/>
                </a:schemeClr>
              </a:solidFill>
            </a:ln>
            <a:effectLst/>
          </c:spPr>
          <c:val>
            <c:numRef>
              <c:f>'Do Not Edit'!$C$162:$G$162</c:f>
              <c:numCache>
                <c:formatCode>General</c:formatCode>
                <c:ptCount val="5"/>
                <c:pt idx="0">
                  <c:v>40</c:v>
                </c:pt>
                <c:pt idx="1">
                  <c:v>40</c:v>
                </c:pt>
                <c:pt idx="2">
                  <c:v>40</c:v>
                </c:pt>
                <c:pt idx="3">
                  <c:v>-20</c:v>
                </c:pt>
                <c:pt idx="4">
                  <c:v>-20</c:v>
                </c:pt>
              </c:numCache>
            </c:numRef>
          </c:val>
          <c:extLst>
            <c:ext xmlns:c16="http://schemas.microsoft.com/office/drawing/2014/chart" uri="{C3380CC4-5D6E-409C-BE32-E72D297353CC}">
              <c16:uniqueId val="{00000001-5B28-4471-92E7-31F2A985459A}"/>
            </c:ext>
          </c:extLst>
        </c:ser>
        <c:dLbls>
          <c:showLegendKey val="0"/>
          <c:showVal val="0"/>
          <c:showCatName val="0"/>
          <c:showSerName val="0"/>
          <c:showPercent val="0"/>
          <c:showBubbleSize val="0"/>
        </c:dLbls>
        <c:axId val="631390016"/>
        <c:axId val="631386080"/>
      </c:areaChart>
      <c:lineChart>
        <c:grouping val="standard"/>
        <c:varyColors val="0"/>
        <c:ser>
          <c:idx val="0"/>
          <c:order val="0"/>
          <c:tx>
            <c:v>Patient</c:v>
          </c:tx>
          <c:spPr>
            <a:ln w="28575" cap="rnd">
              <a:solidFill>
                <a:schemeClr val="accent1"/>
              </a:solidFill>
              <a:round/>
            </a:ln>
            <a:effectLst/>
          </c:spPr>
          <c:marker>
            <c:symbol val="none"/>
          </c:marker>
          <c:cat>
            <c:strRef>
              <c:f>'Do Not Edit'!$C$154:$G$154</c:f>
              <c:strCache>
                <c:ptCount val="5"/>
                <c:pt idx="0">
                  <c:v>IR</c:v>
                </c:pt>
                <c:pt idx="1">
                  <c:v>DR</c:v>
                </c:pt>
                <c:pt idx="2">
                  <c:v>CNS</c:v>
                </c:pt>
                <c:pt idx="3">
                  <c:v>PA</c:v>
                </c:pt>
                <c:pt idx="4">
                  <c:v>FR</c:v>
                </c:pt>
              </c:strCache>
            </c:strRef>
          </c:cat>
          <c:val>
            <c:numRef>
              <c:f>'Do Not Edit'!$C$156:$G$156</c:f>
              <c:numCache>
                <c:formatCode>General</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2-5B28-4471-92E7-31F2A985459A}"/>
            </c:ext>
          </c:extLst>
        </c:ser>
        <c:ser>
          <c:idx val="1"/>
          <c:order val="1"/>
          <c:tx>
            <c:v>Simulators</c:v>
          </c:tx>
          <c:spPr>
            <a:ln w="28575" cap="rnd">
              <a:solidFill>
                <a:srgbClr val="00B050"/>
              </a:solidFill>
              <a:prstDash val="sysDot"/>
              <a:round/>
            </a:ln>
            <a:effectLst/>
          </c:spPr>
          <c:marker>
            <c:symbol val="none"/>
          </c:marker>
          <c:cat>
            <c:strRef>
              <c:f>'Do Not Edit'!$C$154:$G$154</c:f>
              <c:strCache>
                <c:ptCount val="5"/>
                <c:pt idx="0">
                  <c:v>IR</c:v>
                </c:pt>
                <c:pt idx="1">
                  <c:v>DR</c:v>
                </c:pt>
                <c:pt idx="2">
                  <c:v>CNS</c:v>
                </c:pt>
                <c:pt idx="3">
                  <c:v>PA</c:v>
                </c:pt>
                <c:pt idx="4">
                  <c:v>FR</c:v>
                </c:pt>
              </c:strCache>
            </c:strRef>
          </c:cat>
          <c:val>
            <c:numRef>
              <c:f>'Do Not Edit'!$C$157:$G$157</c:f>
              <c:numCache>
                <c:formatCode>General</c:formatCode>
                <c:ptCount val="5"/>
                <c:pt idx="0">
                  <c:v>60</c:v>
                </c:pt>
                <c:pt idx="1">
                  <c:v>60</c:v>
                </c:pt>
                <c:pt idx="2">
                  <c:v>49</c:v>
                </c:pt>
                <c:pt idx="3">
                  <c:v>51</c:v>
                </c:pt>
                <c:pt idx="4">
                  <c:v>37</c:v>
                </c:pt>
              </c:numCache>
            </c:numRef>
          </c:val>
          <c:smooth val="0"/>
          <c:extLst>
            <c:ext xmlns:c16="http://schemas.microsoft.com/office/drawing/2014/chart" uri="{C3380CC4-5D6E-409C-BE32-E72D297353CC}">
              <c16:uniqueId val="{00000003-5B28-4471-92E7-31F2A985459A}"/>
            </c:ext>
          </c:extLst>
        </c:ser>
        <c:ser>
          <c:idx val="2"/>
          <c:order val="2"/>
          <c:tx>
            <c:strRef>
              <c:f>'Do Not Edit'!$A$158</c:f>
              <c:strCache>
                <c:ptCount val="1"/>
                <c:pt idx="0">
                  <c:v>Advanced Dementia</c:v>
                </c:pt>
              </c:strCache>
            </c:strRef>
          </c:tx>
          <c:spPr>
            <a:ln w="28575" cap="rnd">
              <a:solidFill>
                <a:srgbClr val="FF0000"/>
              </a:solidFill>
              <a:prstDash val="sysDot"/>
              <a:round/>
            </a:ln>
            <a:effectLst/>
          </c:spPr>
          <c:marker>
            <c:symbol val="none"/>
          </c:marker>
          <c:cat>
            <c:strRef>
              <c:f>'Do Not Edit'!$C$154:$G$154</c:f>
              <c:strCache>
                <c:ptCount val="5"/>
                <c:pt idx="0">
                  <c:v>IR</c:v>
                </c:pt>
                <c:pt idx="1">
                  <c:v>DR</c:v>
                </c:pt>
                <c:pt idx="2">
                  <c:v>CNS</c:v>
                </c:pt>
                <c:pt idx="3">
                  <c:v>PA</c:v>
                </c:pt>
                <c:pt idx="4">
                  <c:v>FR</c:v>
                </c:pt>
              </c:strCache>
            </c:strRef>
          </c:cat>
          <c:val>
            <c:numRef>
              <c:f>'Do Not Edit'!$C$158:$G$158</c:f>
              <c:numCache>
                <c:formatCode>General</c:formatCode>
                <c:ptCount val="5"/>
                <c:pt idx="0">
                  <c:v>77</c:v>
                </c:pt>
                <c:pt idx="1">
                  <c:v>78</c:v>
                </c:pt>
                <c:pt idx="2">
                  <c:v>75</c:v>
                </c:pt>
                <c:pt idx="3">
                  <c:v>46</c:v>
                </c:pt>
                <c:pt idx="4">
                  <c:v>12</c:v>
                </c:pt>
              </c:numCache>
            </c:numRef>
          </c:val>
          <c:smooth val="0"/>
          <c:extLst>
            <c:ext xmlns:c16="http://schemas.microsoft.com/office/drawing/2014/chart" uri="{C3380CC4-5D6E-409C-BE32-E72D297353CC}">
              <c16:uniqueId val="{00000004-5B28-4471-92E7-31F2A985459A}"/>
            </c:ext>
          </c:extLst>
        </c:ser>
        <c:ser>
          <c:idx val="3"/>
          <c:order val="3"/>
          <c:tx>
            <c:strRef>
              <c:f>'Do Not Edit'!$A$159</c:f>
              <c:strCache>
                <c:ptCount val="1"/>
                <c:pt idx="0">
                  <c:v>Early Dementia</c:v>
                </c:pt>
              </c:strCache>
            </c:strRef>
          </c:tx>
          <c:spPr>
            <a:ln w="28575" cap="rnd">
              <a:solidFill>
                <a:schemeClr val="accent4"/>
              </a:solidFill>
              <a:prstDash val="sysDot"/>
              <a:round/>
            </a:ln>
            <a:effectLst/>
          </c:spPr>
          <c:marker>
            <c:symbol val="none"/>
          </c:marker>
          <c:cat>
            <c:strRef>
              <c:f>'Do Not Edit'!$C$154:$G$154</c:f>
              <c:strCache>
                <c:ptCount val="5"/>
                <c:pt idx="0">
                  <c:v>IR</c:v>
                </c:pt>
                <c:pt idx="1">
                  <c:v>DR</c:v>
                </c:pt>
                <c:pt idx="2">
                  <c:v>CNS</c:v>
                </c:pt>
                <c:pt idx="3">
                  <c:v>PA</c:v>
                </c:pt>
                <c:pt idx="4">
                  <c:v>FR</c:v>
                </c:pt>
              </c:strCache>
            </c:strRef>
          </c:cat>
          <c:val>
            <c:numRef>
              <c:f>'Do Not Edit'!$C$159:$G$159</c:f>
              <c:numCache>
                <c:formatCode>General</c:formatCode>
                <c:ptCount val="5"/>
                <c:pt idx="0">
                  <c:v>84</c:v>
                </c:pt>
                <c:pt idx="1">
                  <c:v>89</c:v>
                </c:pt>
                <c:pt idx="2">
                  <c:v>81</c:v>
                </c:pt>
                <c:pt idx="3">
                  <c:v>54</c:v>
                </c:pt>
                <c:pt idx="4">
                  <c:v>31</c:v>
                </c:pt>
              </c:numCache>
            </c:numRef>
          </c:val>
          <c:smooth val="0"/>
          <c:extLst>
            <c:ext xmlns:c16="http://schemas.microsoft.com/office/drawing/2014/chart" uri="{C3380CC4-5D6E-409C-BE32-E72D297353CC}">
              <c16:uniqueId val="{00000005-5B28-4471-92E7-31F2A985459A}"/>
            </c:ext>
          </c:extLst>
        </c:ser>
        <c:dLbls>
          <c:showLegendKey val="0"/>
          <c:showVal val="0"/>
          <c:showCatName val="0"/>
          <c:showSerName val="0"/>
          <c:showPercent val="0"/>
          <c:showBubbleSize val="0"/>
        </c:dLbls>
        <c:marker val="1"/>
        <c:smooth val="0"/>
        <c:axId val="631390016"/>
        <c:axId val="631386080"/>
      </c:lineChart>
      <c:catAx>
        <c:axId val="631390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Sub-Test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386080"/>
        <c:crosses val="autoZero"/>
        <c:auto val="1"/>
        <c:lblAlgn val="ctr"/>
        <c:lblOffset val="100"/>
        <c:noMultiLvlLbl val="0"/>
      </c:catAx>
      <c:valAx>
        <c:axId val="63138608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390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RBANS Percentile Ranges vs Expected</a:t>
            </a:r>
            <a:r>
              <a:rPr lang="en-GB" b="1" baseline="0"/>
              <a:t> Scores</a:t>
            </a:r>
            <a:r>
              <a:rPr lang="en-GB" b="1"/>
              <a:t>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2"/>
          <c:order val="0"/>
          <c:tx>
            <c:strRef>
              <c:f>'Do Not Edit'!$D$192</c:f>
              <c:strCache>
                <c:ptCount val="1"/>
                <c:pt idx="0">
                  <c:v>Lower</c:v>
                </c:pt>
              </c:strCache>
            </c:strRef>
          </c:tx>
          <c:spPr>
            <a:noFill/>
            <a:ln>
              <a:noFill/>
            </a:ln>
            <a:effectLst/>
          </c:spPr>
          <c:cat>
            <c:strRef>
              <c:f>'Do Not Edit'!$E$189:$H$189</c:f>
              <c:strCache>
                <c:ptCount val="4"/>
                <c:pt idx="0">
                  <c:v>Line Orientation</c:v>
                </c:pt>
                <c:pt idx="1">
                  <c:v>Picture Naming</c:v>
                </c:pt>
                <c:pt idx="2">
                  <c:v>Delayed Recall</c:v>
                </c:pt>
                <c:pt idx="3">
                  <c:v>Delayed Recognition</c:v>
                </c:pt>
              </c:strCache>
            </c:strRef>
          </c:cat>
          <c:val>
            <c:numRef>
              <c:f>'Do Not Edit'!$E$192:$H$192</c:f>
              <c:numCache>
                <c:formatCode>0.0%</c:formatCode>
                <c:ptCount val="4"/>
                <c:pt idx="0">
                  <c:v>0.21456471341418634</c:v>
                </c:pt>
                <c:pt idx="1">
                  <c:v>0.21456471341418634</c:v>
                </c:pt>
                <c:pt idx="2">
                  <c:v>0.2582596873373092</c:v>
                </c:pt>
                <c:pt idx="3">
                  <c:v>0.2582596873373092</c:v>
                </c:pt>
              </c:numCache>
            </c:numRef>
          </c:val>
          <c:extLst>
            <c:ext xmlns:c16="http://schemas.microsoft.com/office/drawing/2014/chart" uri="{C3380CC4-5D6E-409C-BE32-E72D297353CC}">
              <c16:uniqueId val="{00000002-1B44-4592-96E2-3E79F9ABDA28}"/>
            </c:ext>
          </c:extLst>
        </c:ser>
        <c:ser>
          <c:idx val="3"/>
          <c:order val="3"/>
          <c:tx>
            <c:v>Expected Performance Range</c:v>
          </c:tx>
          <c:spPr>
            <a:solidFill>
              <a:schemeClr val="accent6">
                <a:lumMod val="40000"/>
                <a:lumOff val="60000"/>
              </a:schemeClr>
            </a:solidFill>
            <a:ln>
              <a:noFill/>
            </a:ln>
            <a:effectLst/>
          </c:spPr>
          <c:cat>
            <c:strRef>
              <c:f>'Do Not Edit'!$E$189:$H$189</c:f>
              <c:strCache>
                <c:ptCount val="4"/>
                <c:pt idx="0">
                  <c:v>Line Orientation</c:v>
                </c:pt>
                <c:pt idx="1">
                  <c:v>Picture Naming</c:v>
                </c:pt>
                <c:pt idx="2">
                  <c:v>Delayed Recall</c:v>
                </c:pt>
                <c:pt idx="3">
                  <c:v>Delayed Recognition</c:v>
                </c:pt>
              </c:strCache>
            </c:strRef>
          </c:cat>
          <c:val>
            <c:numRef>
              <c:f>'Do Not Edit'!$E$195:$H$195</c:f>
              <c:numCache>
                <c:formatCode>0.0%</c:formatCode>
                <c:ptCount val="4"/>
                <c:pt idx="0">
                  <c:v>0.67216488631722326</c:v>
                </c:pt>
                <c:pt idx="1">
                  <c:v>0.67216488631722326</c:v>
                </c:pt>
                <c:pt idx="2">
                  <c:v>0.65343743455929337</c:v>
                </c:pt>
                <c:pt idx="3">
                  <c:v>0.65343743455929337</c:v>
                </c:pt>
              </c:numCache>
            </c:numRef>
          </c:val>
          <c:extLst>
            <c:ext xmlns:c16="http://schemas.microsoft.com/office/drawing/2014/chart" uri="{C3380CC4-5D6E-409C-BE32-E72D297353CC}">
              <c16:uniqueId val="{00000003-1B44-4592-96E2-3E79F9ABDA28}"/>
            </c:ext>
          </c:extLst>
        </c:ser>
        <c:dLbls>
          <c:showLegendKey val="0"/>
          <c:showVal val="0"/>
          <c:showCatName val="0"/>
          <c:showSerName val="0"/>
          <c:showPercent val="0"/>
          <c:showBubbleSize val="0"/>
        </c:dLbls>
        <c:axId val="726451151"/>
        <c:axId val="726452399"/>
        <c:extLst>
          <c:ext xmlns:c15="http://schemas.microsoft.com/office/drawing/2012/chart" uri="{02D57815-91ED-43cb-92C2-25804820EDAC}">
            <c15:filteredAreaSeries>
              <c15:ser>
                <c:idx val="1"/>
                <c:order val="2"/>
                <c:tx>
                  <c:strRef>
                    <c:extLst>
                      <c:ext uri="{02D57815-91ED-43cb-92C2-25804820EDAC}">
                        <c15:formulaRef>
                          <c15:sqref>'Do Not Edit'!$D$191</c15:sqref>
                        </c15:formulaRef>
                      </c:ext>
                    </c:extLst>
                    <c:strCache>
                      <c:ptCount val="1"/>
                      <c:pt idx="0">
                        <c:v>Upper</c:v>
                      </c:pt>
                    </c:strCache>
                  </c:strRef>
                </c:tx>
                <c:spPr>
                  <a:solidFill>
                    <a:schemeClr val="accent2"/>
                  </a:solidFill>
                  <a:ln>
                    <a:noFill/>
                  </a:ln>
                  <a:effectLst/>
                </c:spPr>
                <c:cat>
                  <c:strRef>
                    <c:extLst>
                      <c:ext uri="{02D57815-91ED-43cb-92C2-25804820EDAC}">
                        <c15:formulaRef>
                          <c15:sqref>'Do Not Edit'!$E$189:$H$189</c15:sqref>
                        </c15:formulaRef>
                      </c:ext>
                    </c:extLst>
                    <c:strCache>
                      <c:ptCount val="4"/>
                      <c:pt idx="0">
                        <c:v>Line Orientation</c:v>
                      </c:pt>
                      <c:pt idx="1">
                        <c:v>Picture Naming</c:v>
                      </c:pt>
                      <c:pt idx="2">
                        <c:v>Delayed Recall</c:v>
                      </c:pt>
                      <c:pt idx="3">
                        <c:v>Delayed Recognition</c:v>
                      </c:pt>
                    </c:strCache>
                  </c:strRef>
                </c:cat>
                <c:val>
                  <c:numRef>
                    <c:extLst>
                      <c:ext uri="{02D57815-91ED-43cb-92C2-25804820EDAC}">
                        <c15:formulaRef>
                          <c15:sqref>'Do Not Edit'!$E$191:$H$191</c15:sqref>
                        </c15:formulaRef>
                      </c:ext>
                    </c:extLst>
                    <c:numCache>
                      <c:formatCode>0.0%</c:formatCode>
                      <c:ptCount val="4"/>
                      <c:pt idx="0">
                        <c:v>0.88672959973140963</c:v>
                      </c:pt>
                      <c:pt idx="1">
                        <c:v>0.88672959973140963</c:v>
                      </c:pt>
                      <c:pt idx="2">
                        <c:v>0.91169712189660257</c:v>
                      </c:pt>
                      <c:pt idx="3">
                        <c:v>0.91169712189660257</c:v>
                      </c:pt>
                    </c:numCache>
                  </c:numRef>
                </c:val>
                <c:extLst>
                  <c:ext xmlns:c16="http://schemas.microsoft.com/office/drawing/2014/chart" uri="{C3380CC4-5D6E-409C-BE32-E72D297353CC}">
                    <c16:uniqueId val="{00000001-1B44-4592-96E2-3E79F9ABDA28}"/>
                  </c:ext>
                </c:extLst>
              </c15:ser>
            </c15:filteredAreaSeries>
          </c:ext>
        </c:extLst>
      </c:areaChart>
      <c:lineChart>
        <c:grouping val="standard"/>
        <c:varyColors val="0"/>
        <c:ser>
          <c:idx val="0"/>
          <c:order val="1"/>
          <c:tx>
            <c:v>Expected Percentile</c:v>
          </c:tx>
          <c:spPr>
            <a:ln w="28575" cap="rnd">
              <a:solidFill>
                <a:schemeClr val="accent6">
                  <a:lumMod val="75000"/>
                </a:schemeClr>
              </a:solidFill>
              <a:round/>
            </a:ln>
            <a:effectLst/>
          </c:spPr>
          <c:marker>
            <c:symbol val="none"/>
          </c:marker>
          <c:cat>
            <c:strRef>
              <c:f>'Do Not Edit'!$E$189:$H$189</c:f>
              <c:strCache>
                <c:ptCount val="4"/>
                <c:pt idx="0">
                  <c:v>Line Orientation</c:v>
                </c:pt>
                <c:pt idx="1">
                  <c:v>Picture Naming</c:v>
                </c:pt>
                <c:pt idx="2">
                  <c:v>Delayed Recall</c:v>
                </c:pt>
                <c:pt idx="3">
                  <c:v>Delayed Recognition</c:v>
                </c:pt>
              </c:strCache>
            </c:strRef>
          </c:cat>
          <c:val>
            <c:numRef>
              <c:f>'Do Not Edit'!$E$190:$H$190</c:f>
              <c:numCache>
                <c:formatCode>0.0%</c:formatCode>
                <c:ptCount val="4"/>
                <c:pt idx="0">
                  <c:v>0.58289989540363751</c:v>
                </c:pt>
                <c:pt idx="1">
                  <c:v>0.58289989540363751</c:v>
                </c:pt>
                <c:pt idx="2">
                  <c:v>0.63731085111571373</c:v>
                </c:pt>
                <c:pt idx="3">
                  <c:v>0.63731085111571373</c:v>
                </c:pt>
              </c:numCache>
            </c:numRef>
          </c:val>
          <c:smooth val="0"/>
          <c:extLst>
            <c:ext xmlns:c16="http://schemas.microsoft.com/office/drawing/2014/chart" uri="{C3380CC4-5D6E-409C-BE32-E72D297353CC}">
              <c16:uniqueId val="{00000000-1B44-4592-96E2-3E79F9ABDA28}"/>
            </c:ext>
          </c:extLst>
        </c:ser>
        <c:ser>
          <c:idx val="7"/>
          <c:order val="7"/>
          <c:tx>
            <c:strRef>
              <c:f>'Do Not Edit'!$D$193</c:f>
              <c:strCache>
                <c:ptCount val="1"/>
                <c:pt idx="0">
                  <c:v>Z=-1.5</c:v>
                </c:pt>
              </c:strCache>
            </c:strRef>
          </c:tx>
          <c:spPr>
            <a:ln w="28575" cap="rnd">
              <a:solidFill>
                <a:schemeClr val="accent2"/>
              </a:solidFill>
              <a:prstDash val="sysDash"/>
              <a:round/>
            </a:ln>
            <a:effectLst/>
          </c:spPr>
          <c:marker>
            <c:symbol val="none"/>
          </c:marker>
          <c:cat>
            <c:strRef>
              <c:f>'Do Not Edit'!$E$189:$H$189</c:f>
              <c:strCache>
                <c:ptCount val="4"/>
                <c:pt idx="0">
                  <c:v>Line Orientation</c:v>
                </c:pt>
                <c:pt idx="1">
                  <c:v>Picture Naming</c:v>
                </c:pt>
                <c:pt idx="2">
                  <c:v>Delayed Recall</c:v>
                </c:pt>
                <c:pt idx="3">
                  <c:v>Delayed Recognition</c:v>
                </c:pt>
              </c:strCache>
            </c:strRef>
          </c:cat>
          <c:val>
            <c:numRef>
              <c:f>'Do Not Edit'!$E$193:$H$193</c:f>
              <c:numCache>
                <c:formatCode>0.0%</c:formatCode>
                <c:ptCount val="4"/>
                <c:pt idx="0">
                  <c:v>9.8406938139520658E-2</c:v>
                </c:pt>
                <c:pt idx="1">
                  <c:v>9.8406938139520658E-2</c:v>
                </c:pt>
                <c:pt idx="2">
                  <c:v>0.12533572809272112</c:v>
                </c:pt>
                <c:pt idx="3">
                  <c:v>0.12533572809272112</c:v>
                </c:pt>
              </c:numCache>
            </c:numRef>
          </c:val>
          <c:smooth val="0"/>
          <c:extLst>
            <c:ext xmlns:c16="http://schemas.microsoft.com/office/drawing/2014/chart" uri="{C3380CC4-5D6E-409C-BE32-E72D297353CC}">
              <c16:uniqueId val="{00000007-1B44-4592-96E2-3E79F9ABDA28}"/>
            </c:ext>
          </c:extLst>
        </c:ser>
        <c:ser>
          <c:idx val="8"/>
          <c:order val="8"/>
          <c:tx>
            <c:strRef>
              <c:f>'Do Not Edit'!$D$194</c:f>
              <c:strCache>
                <c:ptCount val="1"/>
                <c:pt idx="0">
                  <c:v>Z=-2</c:v>
                </c:pt>
              </c:strCache>
            </c:strRef>
          </c:tx>
          <c:spPr>
            <a:ln w="28575" cap="rnd">
              <a:solidFill>
                <a:srgbClr val="FF0000"/>
              </a:solidFill>
              <a:prstDash val="sysDash"/>
              <a:round/>
            </a:ln>
            <a:effectLst/>
          </c:spPr>
          <c:marker>
            <c:symbol val="none"/>
          </c:marker>
          <c:cat>
            <c:strRef>
              <c:f>'Do Not Edit'!$E$189:$H$189</c:f>
              <c:strCache>
                <c:ptCount val="4"/>
                <c:pt idx="0">
                  <c:v>Line Orientation</c:v>
                </c:pt>
                <c:pt idx="1">
                  <c:v>Picture Naming</c:v>
                </c:pt>
                <c:pt idx="2">
                  <c:v>Delayed Recall</c:v>
                </c:pt>
                <c:pt idx="3">
                  <c:v>Delayed Recognition</c:v>
                </c:pt>
              </c:strCache>
            </c:strRef>
          </c:cat>
          <c:val>
            <c:numRef>
              <c:f>'Do Not Edit'!$E$194:$H$194</c:f>
              <c:numCache>
                <c:formatCode>0.0%</c:formatCode>
                <c:ptCount val="4"/>
                <c:pt idx="0">
                  <c:v>3.667214850756137E-2</c:v>
                </c:pt>
                <c:pt idx="1">
                  <c:v>3.667214850756137E-2</c:v>
                </c:pt>
                <c:pt idx="2">
                  <c:v>4.9602505428107423E-2</c:v>
                </c:pt>
                <c:pt idx="3">
                  <c:v>4.9602505428107423E-2</c:v>
                </c:pt>
              </c:numCache>
            </c:numRef>
          </c:val>
          <c:smooth val="0"/>
          <c:extLst>
            <c:ext xmlns:c16="http://schemas.microsoft.com/office/drawing/2014/chart" uri="{C3380CC4-5D6E-409C-BE32-E72D297353CC}">
              <c16:uniqueId val="{00000008-1B44-4592-96E2-3E79F9ABDA28}"/>
            </c:ext>
          </c:extLst>
        </c:ser>
        <c:dLbls>
          <c:showLegendKey val="0"/>
          <c:showVal val="0"/>
          <c:showCatName val="0"/>
          <c:showSerName val="0"/>
          <c:showPercent val="0"/>
          <c:showBubbleSize val="0"/>
        </c:dLbls>
        <c:marker val="1"/>
        <c:smooth val="0"/>
        <c:axId val="726451151"/>
        <c:axId val="726452399"/>
      </c:lineChart>
      <c:scatterChart>
        <c:scatterStyle val="lineMarker"/>
        <c:varyColors val="0"/>
        <c:ser>
          <c:idx val="4"/>
          <c:order val="4"/>
          <c:tx>
            <c:v>RBANS MId</c:v>
          </c:tx>
          <c:spPr>
            <a:ln w="25400" cap="rnd">
              <a:noFill/>
              <a:round/>
            </a:ln>
            <a:effectLst/>
          </c:spPr>
          <c:marker>
            <c:symbol val="x"/>
            <c:size val="7"/>
            <c:spPr>
              <a:noFill/>
              <a:ln w="28575">
                <a:solidFill>
                  <a:schemeClr val="tx2"/>
                </a:solidFill>
              </a:ln>
              <a:effectLst/>
            </c:spPr>
          </c:marker>
          <c:errBars>
            <c:errDir val="y"/>
            <c:errBarType val="both"/>
            <c:errValType val="cust"/>
            <c:noEndCap val="0"/>
            <c:plus>
              <c:numRef>
                <c:f>'Do Not Edit'!$E$200:$H$200</c:f>
                <c:numCache>
                  <c:formatCode>General</c:formatCode>
                  <c:ptCount val="4"/>
                  <c:pt idx="0">
                    <c:v>0.01</c:v>
                  </c:pt>
                  <c:pt idx="1">
                    <c:v>0.01</c:v>
                  </c:pt>
                  <c:pt idx="2">
                    <c:v>0.12</c:v>
                  </c:pt>
                  <c:pt idx="3">
                    <c:v>0.01</c:v>
                  </c:pt>
                </c:numCache>
              </c:numRef>
            </c:plus>
            <c:minus>
              <c:numRef>
                <c:f>'Do Not Edit'!$E$200:$H$200</c:f>
                <c:numCache>
                  <c:formatCode>General</c:formatCode>
                  <c:ptCount val="4"/>
                  <c:pt idx="0">
                    <c:v>0.01</c:v>
                  </c:pt>
                  <c:pt idx="1">
                    <c:v>0.01</c:v>
                  </c:pt>
                  <c:pt idx="2">
                    <c:v>0.12</c:v>
                  </c:pt>
                  <c:pt idx="3">
                    <c:v>0.01</c:v>
                  </c:pt>
                </c:numCache>
              </c:numRef>
            </c:minus>
            <c:spPr>
              <a:noFill/>
              <a:ln w="9525" cap="flat" cmpd="sng" algn="ctr">
                <a:solidFill>
                  <a:schemeClr val="tx1">
                    <a:lumMod val="65000"/>
                    <a:lumOff val="35000"/>
                  </a:schemeClr>
                </a:solidFill>
                <a:round/>
              </a:ln>
              <a:effectLst/>
            </c:spPr>
          </c:errBars>
          <c:yVal>
            <c:numRef>
              <c:f>'Do Not Edit'!$E$198:$H$198</c:f>
              <c:numCache>
                <c:formatCode>General</c:formatCode>
                <c:ptCount val="4"/>
                <c:pt idx="0">
                  <c:v>0.01</c:v>
                </c:pt>
                <c:pt idx="1">
                  <c:v>0.01</c:v>
                </c:pt>
                <c:pt idx="2">
                  <c:v>0.38</c:v>
                </c:pt>
                <c:pt idx="3">
                  <c:v>0.01</c:v>
                </c:pt>
              </c:numCache>
            </c:numRef>
          </c:yVal>
          <c:smooth val="0"/>
          <c:extLst>
            <c:ext xmlns:c16="http://schemas.microsoft.com/office/drawing/2014/chart" uri="{C3380CC4-5D6E-409C-BE32-E72D297353CC}">
              <c16:uniqueId val="{00000004-1B44-4592-96E2-3E79F9ABDA28}"/>
            </c:ext>
          </c:extLst>
        </c:ser>
        <c:ser>
          <c:idx val="5"/>
          <c:order val="5"/>
          <c:tx>
            <c:v>RBANS Upper</c:v>
          </c:tx>
          <c:spPr>
            <a:ln w="25400" cap="rnd">
              <a:noFill/>
              <a:round/>
            </a:ln>
            <a:effectLst/>
          </c:spPr>
          <c:marker>
            <c:symbol val="circle"/>
            <c:size val="5"/>
            <c:spPr>
              <a:solidFill>
                <a:schemeClr val="tx1"/>
              </a:solidFill>
              <a:ln w="9525">
                <a:solidFill>
                  <a:schemeClr val="accent6"/>
                </a:solidFill>
              </a:ln>
              <a:effectLst/>
            </c:spPr>
          </c:marker>
          <c:yVal>
            <c:numRef>
              <c:f>'Do Not Edit'!$E$197:$H$197</c:f>
              <c:numCache>
                <c:formatCode>General</c:formatCode>
                <c:ptCount val="4"/>
                <c:pt idx="0">
                  <c:v>0.02</c:v>
                </c:pt>
                <c:pt idx="1">
                  <c:v>0.02</c:v>
                </c:pt>
                <c:pt idx="2">
                  <c:v>0.5</c:v>
                </c:pt>
                <c:pt idx="3">
                  <c:v>0.02</c:v>
                </c:pt>
              </c:numCache>
            </c:numRef>
          </c:yVal>
          <c:smooth val="0"/>
          <c:extLst>
            <c:ext xmlns:c16="http://schemas.microsoft.com/office/drawing/2014/chart" uri="{C3380CC4-5D6E-409C-BE32-E72D297353CC}">
              <c16:uniqueId val="{00000005-1B44-4592-96E2-3E79F9ABDA28}"/>
            </c:ext>
          </c:extLst>
        </c:ser>
        <c:ser>
          <c:idx val="6"/>
          <c:order val="6"/>
          <c:tx>
            <c:v>RBANS Lower</c:v>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yVal>
            <c:numRef>
              <c:f>'Do Not Edit'!$E$199:$H$199</c:f>
              <c:numCache>
                <c:formatCode>General</c:formatCode>
                <c:ptCount val="4"/>
                <c:pt idx="0">
                  <c:v>0</c:v>
                </c:pt>
                <c:pt idx="1">
                  <c:v>0</c:v>
                </c:pt>
                <c:pt idx="2">
                  <c:v>0.26</c:v>
                </c:pt>
                <c:pt idx="3">
                  <c:v>0</c:v>
                </c:pt>
              </c:numCache>
            </c:numRef>
          </c:yVal>
          <c:smooth val="0"/>
          <c:extLst>
            <c:ext xmlns:c16="http://schemas.microsoft.com/office/drawing/2014/chart" uri="{C3380CC4-5D6E-409C-BE32-E72D297353CC}">
              <c16:uniqueId val="{00000006-1B44-4592-96E2-3E79F9ABDA28}"/>
            </c:ext>
          </c:extLst>
        </c:ser>
        <c:dLbls>
          <c:showLegendKey val="0"/>
          <c:showVal val="0"/>
          <c:showCatName val="0"/>
          <c:showSerName val="0"/>
          <c:showPercent val="0"/>
          <c:showBubbleSize val="0"/>
        </c:dLbls>
        <c:axId val="726451151"/>
        <c:axId val="726452399"/>
      </c:scatterChart>
      <c:catAx>
        <c:axId val="726451151"/>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452399"/>
        <c:crosses val="autoZero"/>
        <c:auto val="1"/>
        <c:lblAlgn val="ctr"/>
        <c:lblOffset val="100"/>
        <c:noMultiLvlLbl val="0"/>
      </c:catAx>
      <c:valAx>
        <c:axId val="726452399"/>
        <c:scaling>
          <c:orientation val="minMax"/>
          <c:max val="1"/>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451151"/>
        <c:crosses val="autoZero"/>
        <c:crossBetween val="between"/>
      </c:valAx>
      <c:spPr>
        <a:noFill/>
        <a:ln>
          <a:noFill/>
        </a:ln>
        <a:effectLst/>
      </c:spPr>
    </c:plotArea>
    <c:legend>
      <c:legendPos val="r"/>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0"/>
          <c:order val="0"/>
          <c:tx>
            <c:v>High</c:v>
          </c:tx>
          <c:spPr>
            <a:ln w="19050" cap="rnd">
              <a:noFill/>
              <a:round/>
            </a:ln>
            <a:effectLst/>
          </c:spPr>
          <c:marker>
            <c:symbol val="none"/>
          </c:marker>
          <c:val>
            <c:numRef>
              <c:f>'Do Not Edit'!$O$190:$O$196</c:f>
              <c:numCache>
                <c:formatCode>0%</c:formatCode>
                <c:ptCount val="7"/>
                <c:pt idx="0">
                  <c:v>1</c:v>
                </c:pt>
                <c:pt idx="1">
                  <c:v>0.75</c:v>
                </c:pt>
                <c:pt idx="2">
                  <c:v>0.5</c:v>
                </c:pt>
                <c:pt idx="3">
                  <c:v>0.25</c:v>
                </c:pt>
                <c:pt idx="4">
                  <c:v>0.16</c:v>
                </c:pt>
                <c:pt idx="5">
                  <c:v>0.09</c:v>
                </c:pt>
                <c:pt idx="6">
                  <c:v>0.02</c:v>
                </c:pt>
              </c:numCache>
            </c:numRef>
          </c:val>
          <c:smooth val="0"/>
          <c:extLst>
            <c:ext xmlns:c16="http://schemas.microsoft.com/office/drawing/2014/chart" uri="{C3380CC4-5D6E-409C-BE32-E72D297353CC}">
              <c16:uniqueId val="{00000000-5088-4106-83C2-E00E5FE692C0}"/>
            </c:ext>
          </c:extLst>
        </c:ser>
        <c:ser>
          <c:idx val="1"/>
          <c:order val="1"/>
          <c:tx>
            <c:v>Mid</c:v>
          </c:tx>
          <c:spPr>
            <a:ln w="19050" cap="rnd">
              <a:noFill/>
              <a:round/>
            </a:ln>
            <a:effectLst/>
          </c:spPr>
          <c:marker>
            <c:symbol val="none"/>
          </c:marker>
          <c:val>
            <c:numRef>
              <c:f>'Do Not Edit'!$P$190:$P$196</c:f>
              <c:numCache>
                <c:formatCode>0%</c:formatCode>
                <c:ptCount val="7"/>
                <c:pt idx="0">
                  <c:v>0.88</c:v>
                </c:pt>
                <c:pt idx="1">
                  <c:v>0.63</c:v>
                </c:pt>
                <c:pt idx="2">
                  <c:v>0.38</c:v>
                </c:pt>
                <c:pt idx="3">
                  <c:v>0.21000000000000002</c:v>
                </c:pt>
                <c:pt idx="4">
                  <c:v>0.13</c:v>
                </c:pt>
                <c:pt idx="5">
                  <c:v>0.06</c:v>
                </c:pt>
                <c:pt idx="6">
                  <c:v>0.01</c:v>
                </c:pt>
              </c:numCache>
            </c:numRef>
          </c:val>
          <c:smooth val="0"/>
          <c:extLst>
            <c:ext xmlns:c16="http://schemas.microsoft.com/office/drawing/2014/chart" uri="{C3380CC4-5D6E-409C-BE32-E72D297353CC}">
              <c16:uniqueId val="{00000001-5088-4106-83C2-E00E5FE692C0}"/>
            </c:ext>
          </c:extLst>
        </c:ser>
        <c:ser>
          <c:idx val="2"/>
          <c:order val="2"/>
          <c:tx>
            <c:v>Low</c:v>
          </c:tx>
          <c:spPr>
            <a:ln w="19050" cap="rnd">
              <a:noFill/>
              <a:round/>
            </a:ln>
            <a:effectLst/>
          </c:spPr>
          <c:marker>
            <c:symbol val="none"/>
          </c:marker>
          <c:val>
            <c:numRef>
              <c:f>'Do Not Edit'!$Q$190:$Q$196</c:f>
              <c:numCache>
                <c:formatCode>0%</c:formatCode>
                <c:ptCount val="7"/>
                <c:pt idx="0">
                  <c:v>0.76</c:v>
                </c:pt>
                <c:pt idx="1">
                  <c:v>0.51</c:v>
                </c:pt>
                <c:pt idx="2">
                  <c:v>0.26</c:v>
                </c:pt>
                <c:pt idx="3">
                  <c:v>0.17</c:v>
                </c:pt>
                <c:pt idx="4">
                  <c:v>0.1</c:v>
                </c:pt>
                <c:pt idx="5">
                  <c:v>0.03</c:v>
                </c:pt>
                <c:pt idx="6">
                  <c:v>0</c:v>
                </c:pt>
              </c:numCache>
            </c:numRef>
          </c:val>
          <c:smooth val="0"/>
          <c:extLst>
            <c:ext xmlns:c16="http://schemas.microsoft.com/office/drawing/2014/chart" uri="{C3380CC4-5D6E-409C-BE32-E72D297353CC}">
              <c16:uniqueId val="{00000002-5088-4106-83C2-E00E5FE692C0}"/>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axId val="1556075663"/>
        <c:axId val="1556072335"/>
      </c:stockChart>
      <c:catAx>
        <c:axId val="155607566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072335"/>
        <c:crosses val="autoZero"/>
        <c:auto val="1"/>
        <c:lblAlgn val="ctr"/>
        <c:lblOffset val="100"/>
        <c:noMultiLvlLbl val="0"/>
      </c:catAx>
      <c:valAx>
        <c:axId val="15560723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075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chart" Target="../charts/chart6.xml"/><Relationship Id="rId7" Type="http://schemas.openxmlformats.org/officeDocument/2006/relationships/chart" Target="../charts/chart10.xml"/><Relationship Id="rId12" Type="http://schemas.openxmlformats.org/officeDocument/2006/relationships/chart" Target="../charts/chart15.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11" Type="http://schemas.openxmlformats.org/officeDocument/2006/relationships/chart" Target="../charts/chart14.xml"/><Relationship Id="rId5" Type="http://schemas.openxmlformats.org/officeDocument/2006/relationships/chart" Target="../charts/chart8.xml"/><Relationship Id="rId10" Type="http://schemas.openxmlformats.org/officeDocument/2006/relationships/chart" Target="../charts/chart13.xml"/><Relationship Id="rId4" Type="http://schemas.openxmlformats.org/officeDocument/2006/relationships/chart" Target="../charts/chart7.xml"/><Relationship Id="rId9"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2</xdr:col>
      <xdr:colOff>297180</xdr:colOff>
      <xdr:row>6</xdr:row>
      <xdr:rowOff>15241</xdr:rowOff>
    </xdr:from>
    <xdr:to>
      <xdr:col>2</xdr:col>
      <xdr:colOff>7132320</xdr:colOff>
      <xdr:row>6</xdr:row>
      <xdr:rowOff>3870960</xdr:rowOff>
    </xdr:to>
    <xdr:graphicFrame macro="">
      <xdr:nvGraphicFramePr>
        <xdr:cNvPr id="2" name="Chart 1">
          <a:extLst>
            <a:ext uri="{FF2B5EF4-FFF2-40B4-BE49-F238E27FC236}">
              <a16:creationId xmlns:a16="http://schemas.microsoft.com/office/drawing/2014/main" id="{7FBD2D3F-459D-416D-9620-AA864D4D62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723900</xdr:colOff>
      <xdr:row>10</xdr:row>
      <xdr:rowOff>152400</xdr:rowOff>
    </xdr:from>
    <xdr:to>
      <xdr:col>11</xdr:col>
      <xdr:colOff>121920</xdr:colOff>
      <xdr:row>31</xdr:row>
      <xdr:rowOff>144780</xdr:rowOff>
    </xdr:to>
    <xdr:graphicFrame macro="">
      <xdr:nvGraphicFramePr>
        <xdr:cNvPr id="2" name="Chart 1">
          <a:extLst>
            <a:ext uri="{FF2B5EF4-FFF2-40B4-BE49-F238E27FC236}">
              <a16:creationId xmlns:a16="http://schemas.microsoft.com/office/drawing/2014/main" id="{D487D732-06F2-49C9-BBB8-E0271B941A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213360</xdr:colOff>
      <xdr:row>10</xdr:row>
      <xdr:rowOff>160020</xdr:rowOff>
    </xdr:from>
    <xdr:to>
      <xdr:col>16</xdr:col>
      <xdr:colOff>297180</xdr:colOff>
      <xdr:row>31</xdr:row>
      <xdr:rowOff>167640</xdr:rowOff>
    </xdr:to>
    <xdr:graphicFrame macro="">
      <xdr:nvGraphicFramePr>
        <xdr:cNvPr id="3" name="Chart 2">
          <a:extLst>
            <a:ext uri="{FF2B5EF4-FFF2-40B4-BE49-F238E27FC236}">
              <a16:creationId xmlns:a16="http://schemas.microsoft.com/office/drawing/2014/main" id="{DF64C8A9-E906-4175-A55D-6432D9D873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571499</xdr:colOff>
      <xdr:row>1</xdr:row>
      <xdr:rowOff>133350</xdr:rowOff>
    </xdr:from>
    <xdr:to>
      <xdr:col>17</xdr:col>
      <xdr:colOff>371475</xdr:colOff>
      <xdr:row>33</xdr:row>
      <xdr:rowOff>28575</xdr:rowOff>
    </xdr:to>
    <xdr:graphicFrame macro="">
      <xdr:nvGraphicFramePr>
        <xdr:cNvPr id="3" name="Chart 2">
          <a:extLst>
            <a:ext uri="{FF2B5EF4-FFF2-40B4-BE49-F238E27FC236}">
              <a16:creationId xmlns:a16="http://schemas.microsoft.com/office/drawing/2014/main" id="{C062A4A9-8675-42CD-9AEE-98D294E797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438151</xdr:colOff>
      <xdr:row>1</xdr:row>
      <xdr:rowOff>133349</xdr:rowOff>
    </xdr:from>
    <xdr:to>
      <xdr:col>30</xdr:col>
      <xdr:colOff>200025</xdr:colOff>
      <xdr:row>33</xdr:row>
      <xdr:rowOff>38100</xdr:rowOff>
    </xdr:to>
    <xdr:graphicFrame macro="">
      <xdr:nvGraphicFramePr>
        <xdr:cNvPr id="4" name="Chart 3">
          <a:extLst>
            <a:ext uri="{FF2B5EF4-FFF2-40B4-BE49-F238E27FC236}">
              <a16:creationId xmlns:a16="http://schemas.microsoft.com/office/drawing/2014/main" id="{B8855068-EF03-4B74-8889-0BD9B169E5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438150</xdr:colOff>
      <xdr:row>35</xdr:row>
      <xdr:rowOff>28575</xdr:rowOff>
    </xdr:from>
    <xdr:to>
      <xdr:col>30</xdr:col>
      <xdr:colOff>155716</xdr:colOff>
      <xdr:row>59</xdr:row>
      <xdr:rowOff>110124</xdr:rowOff>
    </xdr:to>
    <xdr:graphicFrame macro="">
      <xdr:nvGraphicFramePr>
        <xdr:cNvPr id="5" name="Chart 4">
          <a:extLst>
            <a:ext uri="{FF2B5EF4-FFF2-40B4-BE49-F238E27FC236}">
              <a16:creationId xmlns:a16="http://schemas.microsoft.com/office/drawing/2014/main" id="{4ED9F076-071D-4819-988A-3B229501B9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609599</xdr:colOff>
      <xdr:row>34</xdr:row>
      <xdr:rowOff>190499</xdr:rowOff>
    </xdr:from>
    <xdr:to>
      <xdr:col>17</xdr:col>
      <xdr:colOff>352425</xdr:colOff>
      <xdr:row>59</xdr:row>
      <xdr:rowOff>123824</xdr:rowOff>
    </xdr:to>
    <xdr:graphicFrame macro="">
      <xdr:nvGraphicFramePr>
        <xdr:cNvPr id="6" name="Chart 5">
          <a:extLst>
            <a:ext uri="{FF2B5EF4-FFF2-40B4-BE49-F238E27FC236}">
              <a16:creationId xmlns:a16="http://schemas.microsoft.com/office/drawing/2014/main" id="{EF1E8658-8D93-4B67-AB59-A2701A2C6D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0</xdr:colOff>
      <xdr:row>64</xdr:row>
      <xdr:rowOff>0</xdr:rowOff>
    </xdr:from>
    <xdr:to>
      <xdr:col>17</xdr:col>
      <xdr:colOff>361950</xdr:colOff>
      <xdr:row>95</xdr:row>
      <xdr:rowOff>85725</xdr:rowOff>
    </xdr:to>
    <xdr:graphicFrame macro="">
      <xdr:nvGraphicFramePr>
        <xdr:cNvPr id="8" name="Chart 7">
          <a:extLst>
            <a:ext uri="{FF2B5EF4-FFF2-40B4-BE49-F238E27FC236}">
              <a16:creationId xmlns:a16="http://schemas.microsoft.com/office/drawing/2014/main" id="{1885AA8C-452D-4D84-925A-40ADA55FF7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428625</xdr:colOff>
      <xdr:row>92</xdr:row>
      <xdr:rowOff>28575</xdr:rowOff>
    </xdr:from>
    <xdr:to>
      <xdr:col>30</xdr:col>
      <xdr:colOff>309563</xdr:colOff>
      <xdr:row>112</xdr:row>
      <xdr:rowOff>85725</xdr:rowOff>
    </xdr:to>
    <xdr:graphicFrame macro="">
      <xdr:nvGraphicFramePr>
        <xdr:cNvPr id="10" name="Chart 9">
          <a:extLst>
            <a:ext uri="{FF2B5EF4-FFF2-40B4-BE49-F238E27FC236}">
              <a16:creationId xmlns:a16="http://schemas.microsoft.com/office/drawing/2014/main" id="{A92B1736-67AE-402A-86B1-EF039A3C80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447675</xdr:colOff>
      <xdr:row>64</xdr:row>
      <xdr:rowOff>28575</xdr:rowOff>
    </xdr:from>
    <xdr:to>
      <xdr:col>30</xdr:col>
      <xdr:colOff>381000</xdr:colOff>
      <xdr:row>89</xdr:row>
      <xdr:rowOff>93345</xdr:rowOff>
    </xdr:to>
    <xdr:graphicFrame macro="">
      <xdr:nvGraphicFramePr>
        <xdr:cNvPr id="12" name="Chart 11">
          <a:extLst>
            <a:ext uri="{FF2B5EF4-FFF2-40B4-BE49-F238E27FC236}">
              <a16:creationId xmlns:a16="http://schemas.microsoft.com/office/drawing/2014/main" id="{D703B3C3-40AF-4C3B-9D45-F60557C538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1</xdr:colOff>
      <xdr:row>134</xdr:row>
      <xdr:rowOff>0</xdr:rowOff>
    </xdr:from>
    <xdr:to>
      <xdr:col>21</xdr:col>
      <xdr:colOff>476251</xdr:colOff>
      <xdr:row>158</xdr:row>
      <xdr:rowOff>123825</xdr:rowOff>
    </xdr:to>
    <xdr:graphicFrame macro="">
      <xdr:nvGraphicFramePr>
        <xdr:cNvPr id="9" name="Chart 8">
          <a:extLst>
            <a:ext uri="{FF2B5EF4-FFF2-40B4-BE49-F238E27FC236}">
              <a16:creationId xmlns:a16="http://schemas.microsoft.com/office/drawing/2014/main" id="{9C6A3B5D-3E8D-4450-BE44-A182B8B5DD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0</xdr:colOff>
      <xdr:row>162</xdr:row>
      <xdr:rowOff>0</xdr:rowOff>
    </xdr:from>
    <xdr:to>
      <xdr:col>21</xdr:col>
      <xdr:colOff>476250</xdr:colOff>
      <xdr:row>186</xdr:row>
      <xdr:rowOff>123825</xdr:rowOff>
    </xdr:to>
    <xdr:graphicFrame macro="">
      <xdr:nvGraphicFramePr>
        <xdr:cNvPr id="11" name="Chart 10">
          <a:extLst>
            <a:ext uri="{FF2B5EF4-FFF2-40B4-BE49-F238E27FC236}">
              <a16:creationId xmlns:a16="http://schemas.microsoft.com/office/drawing/2014/main" id="{12A0CEE5-DFD3-4E00-BDD4-517E1758D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0</xdr:colOff>
      <xdr:row>189</xdr:row>
      <xdr:rowOff>0</xdr:rowOff>
    </xdr:from>
    <xdr:to>
      <xdr:col>21</xdr:col>
      <xdr:colOff>495300</xdr:colOff>
      <xdr:row>215</xdr:row>
      <xdr:rowOff>123825</xdr:rowOff>
    </xdr:to>
    <xdr:graphicFrame macro="">
      <xdr:nvGraphicFramePr>
        <xdr:cNvPr id="13" name="Chart 12">
          <a:extLst>
            <a:ext uri="{FF2B5EF4-FFF2-40B4-BE49-F238E27FC236}">
              <a16:creationId xmlns:a16="http://schemas.microsoft.com/office/drawing/2014/main" id="{A499649F-E42E-4D1A-AFE1-18138841AD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0</xdr:colOff>
      <xdr:row>97</xdr:row>
      <xdr:rowOff>91440</xdr:rowOff>
    </xdr:from>
    <xdr:to>
      <xdr:col>17</xdr:col>
      <xdr:colOff>361950</xdr:colOff>
      <xdr:row>131</xdr:row>
      <xdr:rowOff>129540</xdr:rowOff>
    </xdr:to>
    <xdr:graphicFrame macro="">
      <xdr:nvGraphicFramePr>
        <xdr:cNvPr id="14" name="Chart 13">
          <a:extLst>
            <a:ext uri="{FF2B5EF4-FFF2-40B4-BE49-F238E27FC236}">
              <a16:creationId xmlns:a16="http://schemas.microsoft.com/office/drawing/2014/main" id="{B09BBAD5-A7D6-4750-A6B3-91591C145D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0</xdr:colOff>
      <xdr:row>219</xdr:row>
      <xdr:rowOff>0</xdr:rowOff>
    </xdr:from>
    <xdr:to>
      <xdr:col>21</xdr:col>
      <xdr:colOff>476250</xdr:colOff>
      <xdr:row>243</xdr:row>
      <xdr:rowOff>123825</xdr:rowOff>
    </xdr:to>
    <xdr:graphicFrame macro="">
      <xdr:nvGraphicFramePr>
        <xdr:cNvPr id="2" name="Chart 1">
          <a:extLst>
            <a:ext uri="{FF2B5EF4-FFF2-40B4-BE49-F238E27FC236}">
              <a16:creationId xmlns:a16="http://schemas.microsoft.com/office/drawing/2014/main" id="{9300325D-DC8A-4651-931C-137982890F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304800</xdr:colOff>
      <xdr:row>1</xdr:row>
      <xdr:rowOff>163830</xdr:rowOff>
    </xdr:from>
    <xdr:to>
      <xdr:col>18</xdr:col>
      <xdr:colOff>213360</xdr:colOff>
      <xdr:row>22</xdr:row>
      <xdr:rowOff>137160</xdr:rowOff>
    </xdr:to>
    <xdr:graphicFrame macro="">
      <xdr:nvGraphicFramePr>
        <xdr:cNvPr id="4" name="Chart 3">
          <a:extLst>
            <a:ext uri="{FF2B5EF4-FFF2-40B4-BE49-F238E27FC236}">
              <a16:creationId xmlns:a16="http://schemas.microsoft.com/office/drawing/2014/main" id="{D6621728-0576-43B1-93F1-527D1CA6B0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38100</xdr:colOff>
      <xdr:row>21</xdr:row>
      <xdr:rowOff>148590</xdr:rowOff>
    </xdr:from>
    <xdr:to>
      <xdr:col>8</xdr:col>
      <xdr:colOff>342900</xdr:colOff>
      <xdr:row>36</xdr:row>
      <xdr:rowOff>148590</xdr:rowOff>
    </xdr:to>
    <xdr:graphicFrame macro="">
      <xdr:nvGraphicFramePr>
        <xdr:cNvPr id="2" name="Chart 1">
          <a:extLst>
            <a:ext uri="{FF2B5EF4-FFF2-40B4-BE49-F238E27FC236}">
              <a16:creationId xmlns:a16="http://schemas.microsoft.com/office/drawing/2014/main" id="{06176912-119F-46D2-82CB-36DECCD4B4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129540</xdr:colOff>
      <xdr:row>38</xdr:row>
      <xdr:rowOff>57150</xdr:rowOff>
    </xdr:from>
    <xdr:to>
      <xdr:col>17</xdr:col>
      <xdr:colOff>295836</xdr:colOff>
      <xdr:row>69</xdr:row>
      <xdr:rowOff>62753</xdr:rowOff>
    </xdr:to>
    <xdr:graphicFrame macro="">
      <xdr:nvGraphicFramePr>
        <xdr:cNvPr id="2" name="Chart 1">
          <a:extLst>
            <a:ext uri="{FF2B5EF4-FFF2-40B4-BE49-F238E27FC236}">
              <a16:creationId xmlns:a16="http://schemas.microsoft.com/office/drawing/2014/main" id="{7D9D01A6-0E08-4BF3-9EA0-532B5E94F7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285584</xdr:colOff>
      <xdr:row>11</xdr:row>
      <xdr:rowOff>179235</xdr:rowOff>
    </xdr:from>
    <xdr:to>
      <xdr:col>14</xdr:col>
      <xdr:colOff>274320</xdr:colOff>
      <xdr:row>33</xdr:row>
      <xdr:rowOff>27995</xdr:rowOff>
    </xdr:to>
    <xdr:graphicFrame macro="">
      <xdr:nvGraphicFramePr>
        <xdr:cNvPr id="2" name="Chart 1">
          <a:extLst>
            <a:ext uri="{FF2B5EF4-FFF2-40B4-BE49-F238E27FC236}">
              <a16:creationId xmlns:a16="http://schemas.microsoft.com/office/drawing/2014/main" id="{6F290985-5950-4138-8428-3C0679B76D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573413</xdr:colOff>
      <xdr:row>33</xdr:row>
      <xdr:rowOff>79513</xdr:rowOff>
    </xdr:from>
    <xdr:to>
      <xdr:col>10</xdr:col>
      <xdr:colOff>599917</xdr:colOff>
      <xdr:row>34</xdr:row>
      <xdr:rowOff>106018</xdr:rowOff>
    </xdr:to>
    <xdr:sp macro="" textlink="">
      <xdr:nvSpPr>
        <xdr:cNvPr id="3" name="Arrow: Left-Right 2">
          <a:extLst>
            <a:ext uri="{FF2B5EF4-FFF2-40B4-BE49-F238E27FC236}">
              <a16:creationId xmlns:a16="http://schemas.microsoft.com/office/drawing/2014/main" id="{AFD4145F-22D1-4696-8270-BA27F20075D4}"/>
            </a:ext>
          </a:extLst>
        </xdr:cNvPr>
        <xdr:cNvSpPr/>
      </xdr:nvSpPr>
      <xdr:spPr>
        <a:xfrm>
          <a:off x="5267333" y="4285753"/>
          <a:ext cx="1855304" cy="209385"/>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164123</xdr:colOff>
      <xdr:row>33</xdr:row>
      <xdr:rowOff>79513</xdr:rowOff>
    </xdr:from>
    <xdr:to>
      <xdr:col>14</xdr:col>
      <xdr:colOff>284922</xdr:colOff>
      <xdr:row>34</xdr:row>
      <xdr:rowOff>106018</xdr:rowOff>
    </xdr:to>
    <xdr:sp macro="" textlink="">
      <xdr:nvSpPr>
        <xdr:cNvPr id="4" name="Arrow: Left-Right 3">
          <a:extLst>
            <a:ext uri="{FF2B5EF4-FFF2-40B4-BE49-F238E27FC236}">
              <a16:creationId xmlns:a16="http://schemas.microsoft.com/office/drawing/2014/main" id="{67A839AB-74AF-461B-936D-B0BE49789C82}"/>
            </a:ext>
          </a:extLst>
        </xdr:cNvPr>
        <xdr:cNvSpPr/>
      </xdr:nvSpPr>
      <xdr:spPr>
        <a:xfrm>
          <a:off x="7296443" y="4285753"/>
          <a:ext cx="1949599" cy="209385"/>
        </a:xfrm>
        <a:prstGeom prst="leftRightArrow">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245166</xdr:colOff>
      <xdr:row>33</xdr:row>
      <xdr:rowOff>72887</xdr:rowOff>
    </xdr:from>
    <xdr:to>
      <xdr:col>7</xdr:col>
      <xdr:colOff>430697</xdr:colOff>
      <xdr:row>34</xdr:row>
      <xdr:rowOff>99392</xdr:rowOff>
    </xdr:to>
    <xdr:sp macro="" textlink="">
      <xdr:nvSpPr>
        <xdr:cNvPr id="5" name="Arrow: Left-Right 4">
          <a:extLst>
            <a:ext uri="{FF2B5EF4-FFF2-40B4-BE49-F238E27FC236}">
              <a16:creationId xmlns:a16="http://schemas.microsoft.com/office/drawing/2014/main" id="{483436D1-A4D3-4E8A-9E78-9774BB0E9CF5}"/>
            </a:ext>
          </a:extLst>
        </xdr:cNvPr>
        <xdr:cNvSpPr/>
      </xdr:nvSpPr>
      <xdr:spPr>
        <a:xfrm>
          <a:off x="3110286" y="4279127"/>
          <a:ext cx="2014331" cy="209385"/>
        </a:xfrm>
        <a:prstGeom prst="leftRightArrow">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548640</xdr:colOff>
      <xdr:row>20</xdr:row>
      <xdr:rowOff>38100</xdr:rowOff>
    </xdr:from>
    <xdr:to>
      <xdr:col>14</xdr:col>
      <xdr:colOff>670560</xdr:colOff>
      <xdr:row>20</xdr:row>
      <xdr:rowOff>167640</xdr:rowOff>
    </xdr:to>
    <xdr:sp macro="" textlink="">
      <xdr:nvSpPr>
        <xdr:cNvPr id="2" name="Arrow: Down 1">
          <a:extLst>
            <a:ext uri="{FF2B5EF4-FFF2-40B4-BE49-F238E27FC236}">
              <a16:creationId xmlns:a16="http://schemas.microsoft.com/office/drawing/2014/main" id="{6D2D2C12-C0AD-498E-9F11-822DE0F6E008}"/>
            </a:ext>
          </a:extLst>
        </xdr:cNvPr>
        <xdr:cNvSpPr/>
      </xdr:nvSpPr>
      <xdr:spPr>
        <a:xfrm>
          <a:off x="18943320" y="3848100"/>
          <a:ext cx="121920" cy="12954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594360</xdr:colOff>
      <xdr:row>20</xdr:row>
      <xdr:rowOff>38100</xdr:rowOff>
    </xdr:from>
    <xdr:to>
      <xdr:col>1</xdr:col>
      <xdr:colOff>716280</xdr:colOff>
      <xdr:row>20</xdr:row>
      <xdr:rowOff>167640</xdr:rowOff>
    </xdr:to>
    <xdr:sp macro="" textlink="">
      <xdr:nvSpPr>
        <xdr:cNvPr id="3" name="Arrow: Down 2">
          <a:extLst>
            <a:ext uri="{FF2B5EF4-FFF2-40B4-BE49-F238E27FC236}">
              <a16:creationId xmlns:a16="http://schemas.microsoft.com/office/drawing/2014/main" id="{87A4E720-7EC2-4E4B-8A33-69A24F623483}"/>
            </a:ext>
          </a:extLst>
        </xdr:cNvPr>
        <xdr:cNvSpPr/>
      </xdr:nvSpPr>
      <xdr:spPr>
        <a:xfrm>
          <a:off x="3200400" y="3848100"/>
          <a:ext cx="121920" cy="12954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586740</xdr:colOff>
      <xdr:row>1</xdr:row>
      <xdr:rowOff>22860</xdr:rowOff>
    </xdr:from>
    <xdr:to>
      <xdr:col>5</xdr:col>
      <xdr:colOff>708660</xdr:colOff>
      <xdr:row>1</xdr:row>
      <xdr:rowOff>152400</xdr:rowOff>
    </xdr:to>
    <xdr:sp macro="" textlink="">
      <xdr:nvSpPr>
        <xdr:cNvPr id="4" name="Arrow: Down 3">
          <a:extLst>
            <a:ext uri="{FF2B5EF4-FFF2-40B4-BE49-F238E27FC236}">
              <a16:creationId xmlns:a16="http://schemas.microsoft.com/office/drawing/2014/main" id="{FC19E1C9-7EAE-4CCC-AAB5-0F2106D45761}"/>
            </a:ext>
          </a:extLst>
        </xdr:cNvPr>
        <xdr:cNvSpPr/>
      </xdr:nvSpPr>
      <xdr:spPr>
        <a:xfrm>
          <a:off x="8526780" y="198120"/>
          <a:ext cx="121920" cy="12954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350520</xdr:colOff>
      <xdr:row>86</xdr:row>
      <xdr:rowOff>205740</xdr:rowOff>
    </xdr:from>
    <xdr:to>
      <xdr:col>10</xdr:col>
      <xdr:colOff>321944</xdr:colOff>
      <xdr:row>89</xdr:row>
      <xdr:rowOff>10078</xdr:rowOff>
    </xdr:to>
    <xdr:pic>
      <xdr:nvPicPr>
        <xdr:cNvPr id="2" name="Picture 1">
          <a:extLst>
            <a:ext uri="{FF2B5EF4-FFF2-40B4-BE49-F238E27FC236}">
              <a16:creationId xmlns:a16="http://schemas.microsoft.com/office/drawing/2014/main" id="{9AFDA955-8E90-4549-8BB1-640184EB7284}"/>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254240" y="16962120"/>
          <a:ext cx="2470784" cy="4825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490771</xdr:colOff>
      <xdr:row>44</xdr:row>
      <xdr:rowOff>71949</xdr:rowOff>
    </xdr:from>
    <xdr:to>
      <xdr:col>11</xdr:col>
      <xdr:colOff>257909</xdr:colOff>
      <xdr:row>54</xdr:row>
      <xdr:rowOff>149149</xdr:rowOff>
    </xdr:to>
    <xdr:pic>
      <xdr:nvPicPr>
        <xdr:cNvPr id="4" name="Picture 3">
          <a:extLst>
            <a:ext uri="{FF2B5EF4-FFF2-40B4-BE49-F238E27FC236}">
              <a16:creationId xmlns:a16="http://schemas.microsoft.com/office/drawing/2014/main" id="{C56FACA0-71FF-4CB2-A0CA-AE44EF04E98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762617" y="8700134"/>
          <a:ext cx="3530246" cy="20115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8</xdr:col>
      <xdr:colOff>342900</xdr:colOff>
      <xdr:row>21</xdr:row>
      <xdr:rowOff>1</xdr:rowOff>
    </xdr:from>
    <xdr:to>
      <xdr:col>12</xdr:col>
      <xdr:colOff>314324</xdr:colOff>
      <xdr:row>23</xdr:row>
      <xdr:rowOff>131999</xdr:rowOff>
    </xdr:to>
    <xdr:pic>
      <xdr:nvPicPr>
        <xdr:cNvPr id="2" name="Picture 1">
          <a:extLst>
            <a:ext uri="{FF2B5EF4-FFF2-40B4-BE49-F238E27FC236}">
              <a16:creationId xmlns:a16="http://schemas.microsoft.com/office/drawing/2014/main" id="{69E2977E-6C04-4194-A164-5233DE0CB09C}"/>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219700" y="4019551"/>
          <a:ext cx="2409824" cy="5129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41</xdr:col>
      <xdr:colOff>521153</xdr:colOff>
      <xdr:row>75</xdr:row>
      <xdr:rowOff>186419</xdr:rowOff>
    </xdr:from>
    <xdr:to>
      <xdr:col>55</xdr:col>
      <xdr:colOff>321129</xdr:colOff>
      <xdr:row>107</xdr:row>
      <xdr:rowOff>77561</xdr:rowOff>
    </xdr:to>
    <xdr:graphicFrame macro="">
      <xdr:nvGraphicFramePr>
        <xdr:cNvPr id="2" name="Chart 1">
          <a:extLst>
            <a:ext uri="{FF2B5EF4-FFF2-40B4-BE49-F238E27FC236}">
              <a16:creationId xmlns:a16="http://schemas.microsoft.com/office/drawing/2014/main" id="{BA61428E-E5E4-4E61-9F2B-A5E367EE69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0</xdr:colOff>
      <xdr:row>76</xdr:row>
      <xdr:rowOff>0</xdr:rowOff>
    </xdr:from>
    <xdr:to>
      <xdr:col>40</xdr:col>
      <xdr:colOff>409576</xdr:colOff>
      <xdr:row>107</xdr:row>
      <xdr:rowOff>85725</xdr:rowOff>
    </xdr:to>
    <xdr:graphicFrame macro="">
      <xdr:nvGraphicFramePr>
        <xdr:cNvPr id="3" name="Chart 2">
          <a:extLst>
            <a:ext uri="{FF2B5EF4-FFF2-40B4-BE49-F238E27FC236}">
              <a16:creationId xmlns:a16="http://schemas.microsoft.com/office/drawing/2014/main" id="{83BD2740-1AF9-4DCA-9D9C-B8B12ECFA6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581025</xdr:colOff>
      <xdr:row>112</xdr:row>
      <xdr:rowOff>9525</xdr:rowOff>
    </xdr:from>
    <xdr:to>
      <xdr:col>40</xdr:col>
      <xdr:colOff>381001</xdr:colOff>
      <xdr:row>143</xdr:row>
      <xdr:rowOff>95250</xdr:rowOff>
    </xdr:to>
    <xdr:graphicFrame macro="">
      <xdr:nvGraphicFramePr>
        <xdr:cNvPr id="4" name="Chart 3">
          <a:extLst>
            <a:ext uri="{FF2B5EF4-FFF2-40B4-BE49-F238E27FC236}">
              <a16:creationId xmlns:a16="http://schemas.microsoft.com/office/drawing/2014/main" id="{E646AAA4-3D06-49F6-A9F2-89EC84C906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114299</xdr:colOff>
      <xdr:row>148</xdr:row>
      <xdr:rowOff>171450</xdr:rowOff>
    </xdr:from>
    <xdr:to>
      <xdr:col>22</xdr:col>
      <xdr:colOff>47624</xdr:colOff>
      <xdr:row>174</xdr:row>
      <xdr:rowOff>45720</xdr:rowOff>
    </xdr:to>
    <xdr:graphicFrame macro="">
      <xdr:nvGraphicFramePr>
        <xdr:cNvPr id="5" name="Chart 4">
          <a:extLst>
            <a:ext uri="{FF2B5EF4-FFF2-40B4-BE49-F238E27FC236}">
              <a16:creationId xmlns:a16="http://schemas.microsoft.com/office/drawing/2014/main" id="{67038852-A2A6-5C0F-87F4-98B962D4ED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42862</xdr:colOff>
      <xdr:row>177</xdr:row>
      <xdr:rowOff>28575</xdr:rowOff>
    </xdr:from>
    <xdr:to>
      <xdr:col>33</xdr:col>
      <xdr:colOff>133350</xdr:colOff>
      <xdr:row>197</xdr:row>
      <xdr:rowOff>85725</xdr:rowOff>
    </xdr:to>
    <xdr:graphicFrame macro="">
      <xdr:nvGraphicFramePr>
        <xdr:cNvPr id="6" name="Chart 5">
          <a:extLst>
            <a:ext uri="{FF2B5EF4-FFF2-40B4-BE49-F238E27FC236}">
              <a16:creationId xmlns:a16="http://schemas.microsoft.com/office/drawing/2014/main" id="{846B6987-28F7-641C-63F2-8112B5B990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24</xdr:col>
      <xdr:colOff>0</xdr:colOff>
      <xdr:row>149</xdr:row>
      <xdr:rowOff>0</xdr:rowOff>
    </xdr:from>
    <xdr:to>
      <xdr:col>35</xdr:col>
      <xdr:colOff>542925</xdr:colOff>
      <xdr:row>174</xdr:row>
      <xdr:rowOff>64770</xdr:rowOff>
    </xdr:to>
    <xdr:graphicFrame macro="">
      <xdr:nvGraphicFramePr>
        <xdr:cNvPr id="7" name="Chart 6">
          <a:extLst>
            <a:ext uri="{FF2B5EF4-FFF2-40B4-BE49-F238E27FC236}">
              <a16:creationId xmlns:a16="http://schemas.microsoft.com/office/drawing/2014/main" id="{856ECDA4-1665-4031-ACC4-7E417EC909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323850</xdr:colOff>
      <xdr:row>202</xdr:row>
      <xdr:rowOff>47624</xdr:rowOff>
    </xdr:from>
    <xdr:to>
      <xdr:col>13</xdr:col>
      <xdr:colOff>295275</xdr:colOff>
      <xdr:row>228</xdr:row>
      <xdr:rowOff>171449</xdr:rowOff>
    </xdr:to>
    <xdr:graphicFrame macro="">
      <xdr:nvGraphicFramePr>
        <xdr:cNvPr id="8" name="Chart 7">
          <a:extLst>
            <a:ext uri="{FF2B5EF4-FFF2-40B4-BE49-F238E27FC236}">
              <a16:creationId xmlns:a16="http://schemas.microsoft.com/office/drawing/2014/main" id="{6D52E4C5-00DD-5613-4B3F-66DAA603D2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42862</xdr:colOff>
      <xdr:row>201</xdr:row>
      <xdr:rowOff>104775</xdr:rowOff>
    </xdr:from>
    <xdr:to>
      <xdr:col>20</xdr:col>
      <xdr:colOff>138112</xdr:colOff>
      <xdr:row>215</xdr:row>
      <xdr:rowOff>180975</xdr:rowOff>
    </xdr:to>
    <xdr:graphicFrame macro="">
      <xdr:nvGraphicFramePr>
        <xdr:cNvPr id="10" name="Chart 9">
          <a:extLst>
            <a:ext uri="{FF2B5EF4-FFF2-40B4-BE49-F238E27FC236}">
              <a16:creationId xmlns:a16="http://schemas.microsoft.com/office/drawing/2014/main" id="{79F0CAD9-B4E9-C504-BC79-9957156554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41</xdr:col>
      <xdr:colOff>487319</xdr:colOff>
      <xdr:row>24</xdr:row>
      <xdr:rowOff>56191</xdr:rowOff>
    </xdr:from>
    <xdr:to>
      <xdr:col>44</xdr:col>
      <xdr:colOff>583563</xdr:colOff>
      <xdr:row>27</xdr:row>
      <xdr:rowOff>18091</xdr:rowOff>
    </xdr:to>
    <xdr:sp macro="" textlink="">
      <xdr:nvSpPr>
        <xdr:cNvPr id="2" name="Arrow: Down 1">
          <a:extLst>
            <a:ext uri="{FF2B5EF4-FFF2-40B4-BE49-F238E27FC236}">
              <a16:creationId xmlns:a16="http://schemas.microsoft.com/office/drawing/2014/main" id="{BB0B9366-8FB7-2AB6-1C31-D0C6FBEE5932}"/>
            </a:ext>
          </a:extLst>
        </xdr:cNvPr>
        <xdr:cNvSpPr/>
      </xdr:nvSpPr>
      <xdr:spPr>
        <a:xfrm rot="2784460">
          <a:off x="26176741" y="3932369"/>
          <a:ext cx="533400" cy="192504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48</xdr:col>
      <xdr:colOff>258720</xdr:colOff>
      <xdr:row>24</xdr:row>
      <xdr:rowOff>46666</xdr:rowOff>
    </xdr:from>
    <xdr:to>
      <xdr:col>51</xdr:col>
      <xdr:colOff>354964</xdr:colOff>
      <xdr:row>27</xdr:row>
      <xdr:rowOff>8566</xdr:rowOff>
    </xdr:to>
    <xdr:sp macro="" textlink="">
      <xdr:nvSpPr>
        <xdr:cNvPr id="3" name="Arrow: Down 2">
          <a:extLst>
            <a:ext uri="{FF2B5EF4-FFF2-40B4-BE49-F238E27FC236}">
              <a16:creationId xmlns:a16="http://schemas.microsoft.com/office/drawing/2014/main" id="{28836E2A-4ECA-4953-AF35-A3DC2C2F0640}"/>
            </a:ext>
          </a:extLst>
        </xdr:cNvPr>
        <xdr:cNvSpPr/>
      </xdr:nvSpPr>
      <xdr:spPr>
        <a:xfrm rot="2784460">
          <a:off x="30215342" y="3922844"/>
          <a:ext cx="533400" cy="192504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34</xdr:col>
      <xdr:colOff>58695</xdr:colOff>
      <xdr:row>24</xdr:row>
      <xdr:rowOff>56191</xdr:rowOff>
    </xdr:from>
    <xdr:to>
      <xdr:col>37</xdr:col>
      <xdr:colOff>154939</xdr:colOff>
      <xdr:row>27</xdr:row>
      <xdr:rowOff>18091</xdr:rowOff>
    </xdr:to>
    <xdr:sp macro="" textlink="">
      <xdr:nvSpPr>
        <xdr:cNvPr id="4" name="Arrow: Down 3">
          <a:extLst>
            <a:ext uri="{FF2B5EF4-FFF2-40B4-BE49-F238E27FC236}">
              <a16:creationId xmlns:a16="http://schemas.microsoft.com/office/drawing/2014/main" id="{19D2CC82-88B3-4407-9A55-490EBE00E6C7}"/>
            </a:ext>
          </a:extLst>
        </xdr:cNvPr>
        <xdr:cNvSpPr/>
      </xdr:nvSpPr>
      <xdr:spPr>
        <a:xfrm rot="2784460">
          <a:off x="21480917" y="3932369"/>
          <a:ext cx="533400" cy="192504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27</xdr:col>
      <xdr:colOff>239669</xdr:colOff>
      <xdr:row>25</xdr:row>
      <xdr:rowOff>8566</xdr:rowOff>
    </xdr:from>
    <xdr:to>
      <xdr:col>30</xdr:col>
      <xdr:colOff>335913</xdr:colOff>
      <xdr:row>27</xdr:row>
      <xdr:rowOff>160966</xdr:rowOff>
    </xdr:to>
    <xdr:sp macro="" textlink="">
      <xdr:nvSpPr>
        <xdr:cNvPr id="5" name="Arrow: Down 4">
          <a:extLst>
            <a:ext uri="{FF2B5EF4-FFF2-40B4-BE49-F238E27FC236}">
              <a16:creationId xmlns:a16="http://schemas.microsoft.com/office/drawing/2014/main" id="{2B597A58-8021-49AA-AFCB-E7BE3A9834D7}"/>
            </a:ext>
          </a:extLst>
        </xdr:cNvPr>
        <xdr:cNvSpPr/>
      </xdr:nvSpPr>
      <xdr:spPr>
        <a:xfrm rot="2784460">
          <a:off x="17394691" y="4075244"/>
          <a:ext cx="533400" cy="192504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55</xdr:col>
      <xdr:colOff>525417</xdr:colOff>
      <xdr:row>24</xdr:row>
      <xdr:rowOff>151441</xdr:rowOff>
    </xdr:from>
    <xdr:to>
      <xdr:col>59</xdr:col>
      <xdr:colOff>12061</xdr:colOff>
      <xdr:row>27</xdr:row>
      <xdr:rowOff>113341</xdr:rowOff>
    </xdr:to>
    <xdr:sp macro="" textlink="">
      <xdr:nvSpPr>
        <xdr:cNvPr id="6" name="Arrow: Down 5">
          <a:extLst>
            <a:ext uri="{FF2B5EF4-FFF2-40B4-BE49-F238E27FC236}">
              <a16:creationId xmlns:a16="http://schemas.microsoft.com/office/drawing/2014/main" id="{3BA7D277-267B-4045-93A4-5430E2E0B73A}"/>
            </a:ext>
          </a:extLst>
        </xdr:cNvPr>
        <xdr:cNvSpPr/>
      </xdr:nvSpPr>
      <xdr:spPr>
        <a:xfrm rot="2784460">
          <a:off x="34749239" y="4027619"/>
          <a:ext cx="533400" cy="192504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live/Dropbox/Clinical%20Psychology/MPF/Dementia%20&amp;%20Older%20Adults/Templates/Complex%20Case/Scores%20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Training/Neuro%20Stuff/Binomial%20Distribution%20TOM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BANS-"/>
      <sheetName val="RBANS-A"/>
      <sheetName val="Sheet1"/>
      <sheetName val="Words Phonemic"/>
      <sheetName val="Graphs"/>
      <sheetName val="Do Not Edit"/>
    </sheetNames>
    <sheetDataSet>
      <sheetData sheetId="0">
        <row r="97">
          <cell r="Q97" t="str">
            <v>Naming</v>
          </cell>
        </row>
        <row r="102">
          <cell r="A102" t="str">
            <v>Motor</v>
          </cell>
        </row>
        <row r="103">
          <cell r="A103" t="str">
            <v>Phonology</v>
          </cell>
        </row>
        <row r="104">
          <cell r="A104" t="str">
            <v>Semantics</v>
          </cell>
        </row>
        <row r="105">
          <cell r="A105" t="str">
            <v>Syntax</v>
          </cell>
        </row>
        <row r="106">
          <cell r="A106" t="str">
            <v>Working Memory</v>
          </cell>
        </row>
      </sheetData>
      <sheetData sheetId="1"/>
      <sheetData sheetId="2"/>
      <sheetData sheetId="3"/>
      <sheetData sheetId="4"/>
      <sheetData sheetId="5">
        <row r="24">
          <cell r="K24" t="str">
            <v>lvPPA</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ow r="3">
          <cell r="A3">
            <v>0</v>
          </cell>
        </row>
        <row r="4">
          <cell r="A4">
            <v>1</v>
          </cell>
        </row>
        <row r="5">
          <cell r="A5">
            <v>2</v>
          </cell>
        </row>
        <row r="6">
          <cell r="A6">
            <v>3</v>
          </cell>
        </row>
        <row r="7">
          <cell r="A7">
            <v>4</v>
          </cell>
        </row>
        <row r="8">
          <cell r="A8">
            <v>5</v>
          </cell>
        </row>
        <row r="9">
          <cell r="A9">
            <v>6</v>
          </cell>
        </row>
        <row r="10">
          <cell r="A10">
            <v>7</v>
          </cell>
        </row>
        <row r="11">
          <cell r="A11">
            <v>8</v>
          </cell>
        </row>
        <row r="12">
          <cell r="A12">
            <v>9</v>
          </cell>
        </row>
        <row r="13">
          <cell r="A13">
            <v>10</v>
          </cell>
        </row>
        <row r="14">
          <cell r="A14">
            <v>11</v>
          </cell>
        </row>
        <row r="15">
          <cell r="A15">
            <v>12</v>
          </cell>
        </row>
        <row r="16">
          <cell r="A16">
            <v>13</v>
          </cell>
        </row>
        <row r="17">
          <cell r="A17">
            <v>14</v>
          </cell>
        </row>
        <row r="18">
          <cell r="A18">
            <v>15</v>
          </cell>
        </row>
        <row r="19">
          <cell r="A19">
            <v>16</v>
          </cell>
        </row>
        <row r="20">
          <cell r="A20">
            <v>17</v>
          </cell>
        </row>
        <row r="21">
          <cell r="A21">
            <v>18</v>
          </cell>
        </row>
        <row r="22">
          <cell r="A22">
            <v>19</v>
          </cell>
        </row>
        <row r="23">
          <cell r="A23">
            <v>20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hyperlink" Target="https://doi:10.1093/arclin/acw025" TargetMode="External"/><Relationship Id="rId2" Type="http://schemas.openxmlformats.org/officeDocument/2006/relationships/hyperlink" Target="https://doi.org/10.1080/13854046.2014.960454" TargetMode="External"/><Relationship Id="rId1" Type="http://schemas.openxmlformats.org/officeDocument/2006/relationships/hyperlink" Target="https://doi.org/10.1080/13854046.2017.1406146" TargetMode="External"/><Relationship Id="rId4"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13.bin"/><Relationship Id="rId1" Type="http://schemas.openxmlformats.org/officeDocument/2006/relationships/hyperlink" Target="https://doi.org/10.1093/braincomms/fcab299"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6.bin"/><Relationship Id="rId1" Type="http://schemas.openxmlformats.org/officeDocument/2006/relationships/hyperlink" Target="https://doi.org/10.1101/2020.06.02.20119974"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1DB7D-2E60-4EF9-8D3C-B10513E7C4F4}">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87939-61D2-453B-AD54-83A5BB6EB607}">
  <dimension ref="A1"/>
  <sheetViews>
    <sheetView workbookViewId="0">
      <selection activeCell="G26" sqref="G26"/>
    </sheetView>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DA68C-5E1A-4434-B3AC-EE615AE52FDF}">
  <sheetPr>
    <tabColor theme="4" tint="0.39997558519241921"/>
  </sheetPr>
  <dimension ref="A1:AZ621"/>
  <sheetViews>
    <sheetView topLeftCell="A8" workbookViewId="0">
      <selection activeCell="D39" sqref="D37:D39"/>
    </sheetView>
  </sheetViews>
  <sheetFormatPr baseColWidth="10" defaultColWidth="8.83203125" defaultRowHeight="15" x14ac:dyDescent="0.2"/>
  <cols>
    <col min="2" max="2" width="21.6640625" customWidth="1"/>
    <col min="3" max="3" width="13.83203125" customWidth="1"/>
    <col min="4" max="4" width="18.1640625" customWidth="1"/>
    <col min="5" max="14" width="7.5" customWidth="1"/>
  </cols>
  <sheetData>
    <row r="1" spans="1:52" ht="16" x14ac:dyDescent="0.2">
      <c r="A1" s="40"/>
      <c r="B1" s="138" t="s">
        <v>701</v>
      </c>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row>
    <row r="2" spans="1:52" x14ac:dyDescent="0.2">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row>
    <row r="3" spans="1:52" x14ac:dyDescent="0.2">
      <c r="A3" s="40"/>
      <c r="B3" s="209" t="s">
        <v>690</v>
      </c>
      <c r="C3" s="713" t="s">
        <v>700</v>
      </c>
      <c r="D3" s="613" t="s">
        <v>804</v>
      </c>
      <c r="E3" s="40"/>
      <c r="F3" s="40"/>
      <c r="G3" s="40"/>
      <c r="H3" s="40"/>
      <c r="I3" s="40"/>
      <c r="J3" s="507" t="s">
        <v>742</v>
      </c>
      <c r="K3" s="40"/>
      <c r="L3" s="828"/>
      <c r="M3" s="829"/>
      <c r="N3" s="829"/>
      <c r="O3" s="83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row>
    <row r="4" spans="1:52" x14ac:dyDescent="0.2">
      <c r="A4" s="40"/>
      <c r="B4" s="64"/>
      <c r="C4" s="714"/>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row>
    <row r="5" spans="1:52" x14ac:dyDescent="0.2">
      <c r="A5" s="40"/>
      <c r="B5" s="209" t="s">
        <v>691</v>
      </c>
      <c r="C5" s="672" t="s">
        <v>699</v>
      </c>
      <c r="D5" s="836" t="s">
        <v>746</v>
      </c>
      <c r="E5" s="837"/>
      <c r="F5" s="837"/>
      <c r="G5" s="837"/>
      <c r="H5" s="838"/>
      <c r="I5" s="40"/>
      <c r="J5" s="507" t="s">
        <v>745</v>
      </c>
      <c r="K5" s="40"/>
      <c r="L5" s="831" t="s">
        <v>807</v>
      </c>
      <c r="M5" s="832"/>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row>
    <row r="6" spans="1:52" x14ac:dyDescent="0.2">
      <c r="A6" s="40"/>
      <c r="B6" s="209"/>
      <c r="C6" s="714"/>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row>
    <row r="7" spans="1:52" x14ac:dyDescent="0.2">
      <c r="A7" s="40"/>
      <c r="B7" s="209" t="s">
        <v>692</v>
      </c>
      <c r="C7" s="672" t="s">
        <v>699</v>
      </c>
      <c r="D7" s="836" t="s">
        <v>798</v>
      </c>
      <c r="E7" s="837"/>
      <c r="F7" s="837"/>
      <c r="G7" s="837"/>
      <c r="H7" s="838"/>
      <c r="I7" s="40"/>
      <c r="J7" s="507" t="s">
        <v>808</v>
      </c>
      <c r="K7" s="40"/>
      <c r="L7" s="831" t="s">
        <v>811</v>
      </c>
      <c r="M7" s="832"/>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row>
    <row r="8" spans="1:52" x14ac:dyDescent="0.2">
      <c r="A8" s="40"/>
      <c r="B8" s="40"/>
      <c r="C8" s="714"/>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row>
    <row r="9" spans="1:52" x14ac:dyDescent="0.2">
      <c r="A9" s="40"/>
      <c r="B9" s="209" t="s">
        <v>693</v>
      </c>
      <c r="C9" s="671" t="s">
        <v>636</v>
      </c>
      <c r="D9" s="617" t="str">
        <f>""&amp;D3&amp;" "&amp;D7</f>
        <v>Mr Examples</v>
      </c>
      <c r="E9" s="617"/>
      <c r="F9" s="617"/>
      <c r="G9" s="64"/>
      <c r="H9" s="64"/>
      <c r="I9" s="64"/>
      <c r="J9" s="507" t="s">
        <v>809</v>
      </c>
      <c r="K9" s="40"/>
      <c r="L9" s="833" t="s">
        <v>810</v>
      </c>
      <c r="M9" s="834"/>
      <c r="N9" s="834"/>
      <c r="O9" s="835"/>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row>
    <row r="10" spans="1:52" x14ac:dyDescent="0.2">
      <c r="A10" s="40"/>
      <c r="B10" s="64"/>
      <c r="C10" s="715"/>
      <c r="D10" s="617"/>
      <c r="E10" s="617"/>
      <c r="F10" s="617"/>
      <c r="G10" s="64"/>
      <c r="H10" s="64"/>
      <c r="I10" s="64"/>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row>
    <row r="11" spans="1:52" x14ac:dyDescent="0.2">
      <c r="A11" s="40"/>
      <c r="B11" s="209" t="s">
        <v>633</v>
      </c>
      <c r="C11" s="672" t="s">
        <v>699</v>
      </c>
      <c r="D11" s="618">
        <v>20090</v>
      </c>
      <c r="E11" s="617"/>
      <c r="F11" s="617"/>
      <c r="G11" s="64"/>
      <c r="H11" s="64"/>
      <c r="I11" s="64"/>
      <c r="J11" s="64"/>
      <c r="K11" s="64"/>
      <c r="L11" s="64"/>
      <c r="M11" s="64"/>
      <c r="N11" s="64"/>
      <c r="O11" s="64"/>
      <c r="P11" s="64"/>
      <c r="Q11" s="64"/>
      <c r="R11" s="64"/>
      <c r="S11" s="64"/>
      <c r="T11" s="64"/>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row>
    <row r="12" spans="1:52" x14ac:dyDescent="0.2">
      <c r="A12" s="40"/>
      <c r="B12" s="64"/>
      <c r="C12" s="715"/>
      <c r="D12" s="617"/>
      <c r="E12" s="617"/>
      <c r="F12" s="617"/>
      <c r="G12" s="64"/>
      <c r="H12" s="64"/>
      <c r="I12" s="64"/>
      <c r="J12" s="64"/>
      <c r="K12" s="64"/>
      <c r="L12" s="64"/>
      <c r="M12" s="64"/>
      <c r="N12" s="64"/>
      <c r="O12" s="64"/>
      <c r="P12" s="64"/>
      <c r="Q12" s="64"/>
      <c r="R12" s="64"/>
      <c r="S12" s="64"/>
      <c r="T12" s="64"/>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row>
    <row r="13" spans="1:52" x14ac:dyDescent="0.2">
      <c r="A13" s="40"/>
      <c r="B13" s="209" t="s">
        <v>476</v>
      </c>
      <c r="C13" s="672" t="s">
        <v>699</v>
      </c>
      <c r="D13" s="618">
        <v>44690</v>
      </c>
      <c r="E13" s="617"/>
      <c r="F13" s="205" t="s">
        <v>739</v>
      </c>
      <c r="G13" s="64"/>
      <c r="H13" s="64"/>
      <c r="I13" s="672" t="s">
        <v>699</v>
      </c>
      <c r="J13" s="839">
        <v>44943</v>
      </c>
      <c r="K13" s="839"/>
      <c r="L13" s="64"/>
      <c r="M13" s="64"/>
      <c r="N13" s="64"/>
      <c r="O13" s="64"/>
      <c r="P13" s="64"/>
      <c r="Q13" s="64"/>
      <c r="R13" s="64"/>
      <c r="S13" s="64"/>
      <c r="T13" s="64"/>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row>
    <row r="14" spans="1:52" x14ac:dyDescent="0.2">
      <c r="A14" s="40"/>
      <c r="B14" s="64"/>
      <c r="C14" s="715"/>
      <c r="D14" s="617"/>
      <c r="E14" s="617"/>
      <c r="F14" s="617"/>
      <c r="G14" s="64"/>
      <c r="H14" s="64"/>
      <c r="I14" s="64"/>
      <c r="J14" s="64"/>
      <c r="K14" s="64"/>
      <c r="L14" s="64"/>
      <c r="M14" s="64"/>
      <c r="N14" s="64"/>
      <c r="O14" s="64"/>
      <c r="P14" s="64"/>
      <c r="Q14" s="64"/>
      <c r="R14" s="64"/>
      <c r="S14" s="64"/>
      <c r="T14" s="64"/>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row>
    <row r="15" spans="1:52" x14ac:dyDescent="0.2">
      <c r="A15" s="40"/>
      <c r="B15" s="209" t="s">
        <v>0</v>
      </c>
      <c r="C15" s="671" t="s">
        <v>636</v>
      </c>
      <c r="D15" s="751">
        <f>ROUNDDOWN((D13-D11)/365,0)</f>
        <v>67</v>
      </c>
      <c r="E15" s="617"/>
      <c r="F15" s="617"/>
      <c r="G15" s="64"/>
      <c r="H15" s="64"/>
      <c r="I15" s="64"/>
      <c r="J15" s="64"/>
      <c r="K15" s="64"/>
      <c r="L15" s="64"/>
      <c r="M15" s="64"/>
      <c r="N15" s="64"/>
      <c r="O15" s="64"/>
      <c r="P15" s="64"/>
      <c r="Q15" s="64"/>
      <c r="R15" s="64"/>
      <c r="S15" s="64"/>
      <c r="T15" s="64"/>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row>
    <row r="16" spans="1:52" x14ac:dyDescent="0.2">
      <c r="A16" s="40"/>
      <c r="B16" s="64"/>
      <c r="C16" s="715"/>
      <c r="D16" s="617"/>
      <c r="E16" s="617"/>
      <c r="F16" s="617"/>
      <c r="G16" s="64"/>
      <c r="H16" s="64"/>
      <c r="I16" s="64"/>
      <c r="J16" s="64"/>
      <c r="K16" s="64"/>
      <c r="L16" s="64"/>
      <c r="M16" s="64"/>
      <c r="N16" s="64"/>
      <c r="O16" s="64"/>
      <c r="P16" s="64"/>
      <c r="Q16" s="64"/>
      <c r="R16" s="64"/>
      <c r="S16" s="64"/>
      <c r="T16" s="64"/>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row>
    <row r="17" spans="1:52" x14ac:dyDescent="0.2">
      <c r="A17" s="40"/>
      <c r="B17" s="209" t="s">
        <v>182</v>
      </c>
      <c r="C17" s="713" t="s">
        <v>700</v>
      </c>
      <c r="D17" s="613" t="s">
        <v>260</v>
      </c>
      <c r="E17" s="617"/>
      <c r="F17" s="617" t="str">
        <f>IF(D17="Male","male","female")</f>
        <v>female</v>
      </c>
      <c r="G17" s="64"/>
      <c r="H17" s="64"/>
      <c r="I17" s="64"/>
      <c r="J17" s="64"/>
      <c r="K17" s="64"/>
      <c r="L17" s="64"/>
      <c r="M17" s="64"/>
      <c r="N17" s="64"/>
      <c r="O17" s="64"/>
      <c r="P17" s="64"/>
      <c r="Q17" s="64"/>
      <c r="R17" s="64"/>
      <c r="S17" s="64"/>
      <c r="T17" s="64"/>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row>
    <row r="18" spans="1:52" x14ac:dyDescent="0.2">
      <c r="A18" s="40"/>
      <c r="B18" s="64"/>
      <c r="C18" s="715"/>
      <c r="D18" s="617"/>
      <c r="E18" s="617"/>
      <c r="F18" s="617"/>
      <c r="G18" s="64"/>
      <c r="H18" s="64"/>
      <c r="I18" s="64"/>
      <c r="J18" s="64" t="s">
        <v>805</v>
      </c>
      <c r="K18" s="64"/>
      <c r="L18" s="64"/>
      <c r="M18" s="64"/>
      <c r="N18" s="64"/>
      <c r="O18" s="64"/>
      <c r="P18" s="64"/>
      <c r="Q18" s="64"/>
      <c r="R18" s="64"/>
      <c r="S18" s="64"/>
      <c r="T18" s="64"/>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row>
    <row r="19" spans="1:52" x14ac:dyDescent="0.2">
      <c r="A19" s="40"/>
      <c r="B19" s="209" t="s">
        <v>634</v>
      </c>
      <c r="C19" s="672" t="s">
        <v>699</v>
      </c>
      <c r="D19" s="619">
        <v>10</v>
      </c>
      <c r="E19" s="617"/>
      <c r="F19" s="617" t="s">
        <v>689</v>
      </c>
      <c r="G19" s="64"/>
      <c r="H19" s="64"/>
      <c r="I19" s="64"/>
      <c r="J19" s="777" t="s">
        <v>654</v>
      </c>
      <c r="K19" s="438"/>
      <c r="L19" s="438"/>
      <c r="M19" s="438"/>
      <c r="N19" s="438"/>
      <c r="O19" s="438"/>
      <c r="P19" s="438"/>
      <c r="Q19" s="438"/>
      <c r="R19" s="438"/>
      <c r="S19" s="64"/>
      <c r="T19" s="64"/>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row>
    <row r="20" spans="1:52" x14ac:dyDescent="0.2">
      <c r="A20" s="40"/>
      <c r="B20" s="64"/>
      <c r="C20" s="715"/>
      <c r="D20" s="617"/>
      <c r="E20" s="617"/>
      <c r="F20" s="617"/>
      <c r="G20" s="64"/>
      <c r="H20" s="64"/>
      <c r="I20" s="64"/>
      <c r="J20" s="64"/>
      <c r="K20" s="64"/>
      <c r="L20" s="64"/>
      <c r="M20" s="64"/>
      <c r="N20" s="64"/>
      <c r="O20" s="64"/>
      <c r="P20" s="64"/>
      <c r="Q20" s="64"/>
      <c r="R20" s="64"/>
      <c r="S20" s="64"/>
      <c r="T20" s="64"/>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row>
    <row r="21" spans="1:52" x14ac:dyDescent="0.2">
      <c r="A21" s="40"/>
      <c r="B21" s="209" t="s">
        <v>570</v>
      </c>
      <c r="C21" s="713" t="s">
        <v>700</v>
      </c>
      <c r="D21" s="833" t="s">
        <v>581</v>
      </c>
      <c r="E21" s="834"/>
      <c r="F21" s="835"/>
      <c r="G21" s="64"/>
      <c r="H21" s="64"/>
      <c r="I21" s="64"/>
      <c r="J21" s="64"/>
      <c r="K21" s="64"/>
      <c r="L21" s="64"/>
      <c r="M21" s="64"/>
      <c r="N21" s="64"/>
      <c r="O21" s="64"/>
      <c r="P21" s="64"/>
      <c r="Q21" s="64"/>
      <c r="R21" s="64"/>
      <c r="S21" s="64"/>
      <c r="T21" s="64"/>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row>
    <row r="22" spans="1:52" x14ac:dyDescent="0.2">
      <c r="A22" s="40"/>
      <c r="B22" s="64"/>
      <c r="C22" s="715"/>
      <c r="D22" s="617"/>
      <c r="E22" s="617"/>
      <c r="F22" s="617"/>
      <c r="G22" s="64"/>
      <c r="H22" s="64"/>
      <c r="I22" s="64"/>
      <c r="J22" s="64"/>
      <c r="K22" s="64"/>
      <c r="L22" s="64"/>
      <c r="M22" s="64"/>
      <c r="N22" s="64"/>
      <c r="O22" s="64"/>
      <c r="P22" s="64"/>
      <c r="Q22" s="64"/>
      <c r="R22" s="64"/>
      <c r="S22" s="64"/>
      <c r="T22" s="64"/>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row>
    <row r="23" spans="1:52" x14ac:dyDescent="0.2">
      <c r="A23" s="40"/>
      <c r="B23" s="209" t="s">
        <v>635</v>
      </c>
      <c r="C23" s="713" t="s">
        <v>700</v>
      </c>
      <c r="D23" s="613" t="s">
        <v>460</v>
      </c>
      <c r="E23" s="617"/>
      <c r="F23" s="617"/>
      <c r="G23" s="64"/>
      <c r="H23" s="64"/>
      <c r="I23" s="64"/>
      <c r="J23" s="64"/>
      <c r="K23" s="64"/>
      <c r="L23" s="64"/>
      <c r="M23" s="64"/>
      <c r="N23" s="64"/>
      <c r="O23" s="64"/>
      <c r="P23" s="64"/>
      <c r="Q23" s="64"/>
      <c r="R23" s="64"/>
      <c r="S23" s="64"/>
      <c r="T23" s="64"/>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row>
    <row r="24" spans="1:52" x14ac:dyDescent="0.2">
      <c r="A24" s="40"/>
      <c r="B24" s="64"/>
      <c r="C24" s="64"/>
      <c r="D24" s="64"/>
      <c r="E24" s="64"/>
      <c r="F24" s="64"/>
      <c r="G24" s="64"/>
      <c r="H24" s="64"/>
      <c r="I24" s="64"/>
      <c r="J24" s="64"/>
      <c r="K24" s="64"/>
      <c r="L24" s="64"/>
      <c r="M24" s="64"/>
      <c r="N24" s="64"/>
      <c r="O24" s="64"/>
      <c r="P24" s="64"/>
      <c r="Q24" s="64"/>
      <c r="R24" s="64"/>
      <c r="S24" s="64"/>
      <c r="T24" s="64"/>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row>
    <row r="25" spans="1:52" x14ac:dyDescent="0.2">
      <c r="A25" s="40"/>
      <c r="B25" s="64"/>
      <c r="C25" s="64"/>
      <c r="D25" s="64"/>
      <c r="E25" s="64"/>
      <c r="F25" s="64"/>
      <c r="G25" s="64"/>
      <c r="H25" s="64" t="s">
        <v>805</v>
      </c>
      <c r="I25" s="64"/>
      <c r="J25" s="64"/>
      <c r="K25" s="64"/>
      <c r="L25" s="64"/>
      <c r="M25" s="64"/>
      <c r="N25" s="64"/>
      <c r="O25" s="64"/>
      <c r="P25" s="64"/>
      <c r="Q25" s="64"/>
      <c r="R25" s="64"/>
      <c r="S25" s="64"/>
      <c r="T25" s="64"/>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row>
    <row r="26" spans="1:52" x14ac:dyDescent="0.2">
      <c r="A26" s="40"/>
      <c r="B26" s="209" t="s">
        <v>705</v>
      </c>
      <c r="C26" s="713" t="s">
        <v>700</v>
      </c>
      <c r="D26" s="646" t="s">
        <v>1</v>
      </c>
      <c r="E26" s="64"/>
      <c r="F26" s="64"/>
      <c r="G26" s="64"/>
      <c r="H26" s="438" t="s">
        <v>707</v>
      </c>
      <c r="I26" s="438"/>
      <c r="J26" s="438"/>
      <c r="K26" s="438"/>
      <c r="L26" s="438"/>
      <c r="M26" s="438"/>
      <c r="N26" s="438"/>
      <c r="O26" s="438"/>
      <c r="P26" s="438"/>
      <c r="Q26" s="438"/>
      <c r="R26" s="438"/>
      <c r="S26" s="64"/>
      <c r="T26" s="64"/>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row>
    <row r="27" spans="1:52" x14ac:dyDescent="0.2">
      <c r="A27" s="40"/>
      <c r="B27" s="209"/>
      <c r="C27" s="64"/>
      <c r="D27" s="64"/>
      <c r="E27" s="64"/>
      <c r="F27" s="64"/>
      <c r="G27" s="64"/>
      <c r="H27" s="64"/>
      <c r="I27" s="64"/>
      <c r="J27" s="64"/>
      <c r="K27" s="64"/>
      <c r="L27" s="64"/>
      <c r="M27" s="64"/>
      <c r="N27" s="64"/>
      <c r="O27" s="64"/>
      <c r="P27" s="64"/>
      <c r="Q27" s="64"/>
      <c r="R27" s="64"/>
      <c r="S27" s="64"/>
      <c r="T27" s="64"/>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row>
    <row r="28" spans="1:52" x14ac:dyDescent="0.2">
      <c r="A28" s="40"/>
      <c r="B28" s="209" t="s">
        <v>652</v>
      </c>
      <c r="C28" s="672" t="s">
        <v>699</v>
      </c>
      <c r="D28" s="619">
        <v>60</v>
      </c>
      <c r="E28" s="64"/>
      <c r="F28" s="64"/>
      <c r="G28" s="64"/>
      <c r="H28" s="64"/>
      <c r="I28" s="64"/>
      <c r="J28" s="64"/>
      <c r="K28" s="64"/>
      <c r="L28" s="64"/>
      <c r="M28" s="64"/>
      <c r="N28" s="64"/>
      <c r="O28" s="64"/>
      <c r="P28" s="64"/>
      <c r="Q28" s="64"/>
      <c r="R28" s="64"/>
      <c r="S28" s="64"/>
      <c r="T28" s="64"/>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row>
    <row r="29" spans="1:52" x14ac:dyDescent="0.2">
      <c r="A29" s="40"/>
      <c r="B29" s="209"/>
      <c r="C29" s="64"/>
      <c r="D29" s="64"/>
      <c r="E29" s="64"/>
      <c r="F29" s="64"/>
      <c r="G29" s="64"/>
      <c r="H29" s="64"/>
      <c r="I29" s="64"/>
      <c r="J29" s="64"/>
      <c r="K29" s="64"/>
      <c r="L29" s="64"/>
      <c r="M29" s="64"/>
      <c r="N29" s="64"/>
      <c r="O29" s="64"/>
      <c r="P29" s="64"/>
      <c r="Q29" s="64"/>
      <c r="R29" s="64"/>
      <c r="S29" s="64"/>
      <c r="T29" s="64"/>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row>
    <row r="30" spans="1:52" x14ac:dyDescent="0.2">
      <c r="A30" s="40"/>
      <c r="B30" s="668" t="s">
        <v>653</v>
      </c>
      <c r="C30" s="672" t="s">
        <v>699</v>
      </c>
      <c r="D30" s="619"/>
      <c r="E30" s="64" t="s">
        <v>806</v>
      </c>
      <c r="F30" s="209" t="s">
        <v>706</v>
      </c>
      <c r="G30" s="209"/>
      <c r="H30" s="209"/>
      <c r="I30" s="64"/>
      <c r="J30" s="64"/>
      <c r="K30" s="64"/>
      <c r="L30" s="64"/>
      <c r="M30" s="64"/>
      <c r="N30" s="64"/>
      <c r="O30" s="64"/>
      <c r="P30" s="64"/>
      <c r="Q30" s="64"/>
      <c r="R30" s="64"/>
      <c r="S30" s="64"/>
      <c r="T30" s="64"/>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row>
    <row r="31" spans="1:52" x14ac:dyDescent="0.2">
      <c r="A31" s="40"/>
      <c r="B31" s="64"/>
      <c r="C31" s="64"/>
      <c r="D31" s="64"/>
      <c r="E31" s="64"/>
      <c r="F31" s="64"/>
      <c r="G31" s="64"/>
      <c r="H31" s="64"/>
      <c r="I31" s="64"/>
      <c r="J31" s="64"/>
      <c r="K31" s="64"/>
      <c r="L31" s="64"/>
      <c r="M31" s="64"/>
      <c r="N31" s="64"/>
      <c r="O31" s="64"/>
      <c r="P31" s="64"/>
      <c r="Q31" s="64"/>
      <c r="R31" s="64"/>
      <c r="S31" s="64"/>
      <c r="T31" s="64"/>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row>
    <row r="32" spans="1:52" x14ac:dyDescent="0.2">
      <c r="A32" s="40"/>
      <c r="B32" s="64"/>
      <c r="C32" s="64"/>
      <c r="D32" s="64"/>
      <c r="E32" s="64"/>
      <c r="F32" s="64"/>
      <c r="G32" s="64"/>
      <c r="H32" s="64"/>
      <c r="I32" s="64"/>
      <c r="J32" s="64"/>
      <c r="K32" s="64"/>
      <c r="L32" s="64"/>
      <c r="M32" s="64"/>
      <c r="N32" s="64"/>
      <c r="O32" s="64"/>
      <c r="P32" s="64"/>
      <c r="Q32" s="64"/>
      <c r="R32" s="64"/>
      <c r="S32" s="64"/>
      <c r="T32" s="64"/>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row>
    <row r="33" spans="1:52" x14ac:dyDescent="0.2">
      <c r="A33" s="40"/>
      <c r="B33" s="209" t="s">
        <v>698</v>
      </c>
      <c r="C33" s="64"/>
      <c r="D33" s="64"/>
      <c r="E33" s="64"/>
      <c r="F33" s="64"/>
      <c r="G33" s="64"/>
      <c r="H33" s="64"/>
      <c r="I33" s="64"/>
      <c r="J33" s="64"/>
      <c r="K33" s="64"/>
      <c r="L33" s="64"/>
      <c r="M33" s="64"/>
      <c r="N33" s="64"/>
      <c r="O33" s="64"/>
      <c r="P33" s="64"/>
      <c r="Q33" s="64"/>
      <c r="R33" s="64"/>
      <c r="S33" s="64"/>
      <c r="T33" s="64"/>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row>
    <row r="34" spans="1:52" x14ac:dyDescent="0.2">
      <c r="A34" s="40"/>
      <c r="B34" s="64"/>
      <c r="C34" s="64"/>
      <c r="D34" s="66" t="s">
        <v>9</v>
      </c>
      <c r="E34" s="40"/>
      <c r="F34" s="66" t="s">
        <v>141</v>
      </c>
      <c r="G34" s="66" t="s">
        <v>142</v>
      </c>
      <c r="H34" s="66" t="s">
        <v>695</v>
      </c>
      <c r="I34" s="66" t="s">
        <v>696</v>
      </c>
      <c r="J34" s="64"/>
      <c r="K34" s="64"/>
      <c r="L34" s="64"/>
      <c r="M34" s="64"/>
      <c r="N34" s="64"/>
      <c r="O34" s="64"/>
      <c r="P34" s="64"/>
      <c r="Q34" s="64"/>
      <c r="R34" s="64"/>
      <c r="S34" s="64"/>
      <c r="T34" s="64"/>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row>
    <row r="35" spans="1:52" x14ac:dyDescent="0.2">
      <c r="A35" s="40"/>
      <c r="B35" s="669" t="s">
        <v>11</v>
      </c>
      <c r="C35" s="671" t="s">
        <v>636</v>
      </c>
      <c r="D35" s="707">
        <f>SUM(F35:I35)</f>
        <v>30</v>
      </c>
      <c r="E35" s="670" t="s">
        <v>699</v>
      </c>
      <c r="F35" s="100">
        <v>5</v>
      </c>
      <c r="G35" s="100">
        <v>7</v>
      </c>
      <c r="H35" s="100">
        <v>8</v>
      </c>
      <c r="I35" s="100">
        <v>10</v>
      </c>
      <c r="J35" s="64"/>
      <c r="K35" s="64"/>
      <c r="L35" s="64"/>
      <c r="M35" s="64"/>
      <c r="N35" s="64"/>
      <c r="O35" s="64"/>
      <c r="P35" s="64"/>
      <c r="Q35" s="64"/>
      <c r="R35" s="64"/>
      <c r="S35" s="64"/>
      <c r="T35" s="64"/>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row>
    <row r="36" spans="1:52" x14ac:dyDescent="0.2">
      <c r="A36" s="40"/>
      <c r="B36" s="669" t="s">
        <v>12</v>
      </c>
      <c r="C36" s="671" t="s">
        <v>636</v>
      </c>
      <c r="D36" s="707">
        <f>SUM(F36:G36)</f>
        <v>17</v>
      </c>
      <c r="E36" s="670" t="s">
        <v>699</v>
      </c>
      <c r="F36" s="100">
        <v>5</v>
      </c>
      <c r="G36" s="100">
        <v>12</v>
      </c>
      <c r="H36" s="65"/>
      <c r="I36" s="65"/>
      <c r="J36" s="64"/>
      <c r="K36" s="64"/>
      <c r="L36" s="64"/>
      <c r="M36" s="64"/>
      <c r="N36" s="64"/>
      <c r="O36" s="64"/>
      <c r="P36" s="64"/>
      <c r="Q36" s="64"/>
      <c r="R36" s="64"/>
      <c r="S36" s="64"/>
      <c r="T36" s="64"/>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row>
    <row r="37" spans="1:52" x14ac:dyDescent="0.2">
      <c r="A37" s="40"/>
      <c r="B37" s="669" t="s">
        <v>13</v>
      </c>
      <c r="C37" s="672" t="s">
        <v>699</v>
      </c>
      <c r="D37" s="264"/>
      <c r="E37" s="40"/>
      <c r="F37" s="64"/>
      <c r="G37" s="64"/>
      <c r="H37" s="64"/>
      <c r="I37" s="64"/>
      <c r="J37" s="64"/>
      <c r="K37" s="64"/>
      <c r="L37" s="64"/>
      <c r="M37" s="64"/>
      <c r="N37" s="64"/>
      <c r="O37" s="64"/>
      <c r="P37" s="64"/>
      <c r="Q37" s="64"/>
      <c r="R37" s="64"/>
      <c r="S37" s="64"/>
      <c r="T37" s="64"/>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row>
    <row r="38" spans="1:52" x14ac:dyDescent="0.2">
      <c r="A38" s="40"/>
      <c r="B38" s="669" t="s">
        <v>14</v>
      </c>
      <c r="C38" s="672" t="s">
        <v>699</v>
      </c>
      <c r="D38" s="264"/>
      <c r="E38" s="40"/>
      <c r="F38" s="64"/>
      <c r="G38" s="64"/>
      <c r="H38" s="64"/>
      <c r="I38" s="64"/>
      <c r="J38" s="64"/>
      <c r="K38" s="64"/>
      <c r="L38" s="64"/>
      <c r="M38" s="64"/>
      <c r="N38" s="64"/>
      <c r="O38" s="64"/>
      <c r="P38" s="64"/>
      <c r="Q38" s="64"/>
      <c r="R38" s="64"/>
      <c r="S38" s="64"/>
      <c r="T38" s="64"/>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row>
    <row r="39" spans="1:52" x14ac:dyDescent="0.2">
      <c r="A39" s="40"/>
      <c r="B39" s="669" t="s">
        <v>16</v>
      </c>
      <c r="C39" s="672" t="s">
        <v>699</v>
      </c>
      <c r="D39" s="264"/>
      <c r="E39" s="40"/>
      <c r="F39" s="64"/>
      <c r="G39" s="64"/>
      <c r="H39" s="64"/>
      <c r="I39" s="64"/>
      <c r="J39" s="64"/>
      <c r="K39" s="64"/>
      <c r="L39" s="64"/>
      <c r="M39" s="64"/>
      <c r="N39" s="64"/>
      <c r="O39" s="64"/>
      <c r="P39" s="64"/>
      <c r="Q39" s="64"/>
      <c r="R39" s="64"/>
      <c r="S39" s="64"/>
      <c r="T39" s="64"/>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row>
    <row r="40" spans="1:52" x14ac:dyDescent="0.2">
      <c r="A40" s="40"/>
      <c r="B40" s="669" t="s">
        <v>17</v>
      </c>
      <c r="C40" s="672" t="s">
        <v>699</v>
      </c>
      <c r="D40" s="270">
        <v>16</v>
      </c>
      <c r="E40" s="40"/>
      <c r="F40" s="209" t="s">
        <v>697</v>
      </c>
      <c r="G40" s="64"/>
      <c r="H40" s="64"/>
      <c r="I40" s="64"/>
      <c r="J40" s="64"/>
      <c r="K40" s="64"/>
      <c r="L40" s="64"/>
      <c r="M40" s="64"/>
      <c r="N40" s="64"/>
      <c r="O40" s="64"/>
      <c r="P40" s="64"/>
      <c r="Q40" s="64"/>
      <c r="R40" s="64"/>
      <c r="S40" s="64"/>
      <c r="T40" s="64"/>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row>
    <row r="41" spans="1:52" x14ac:dyDescent="0.2">
      <c r="A41" s="40"/>
      <c r="B41" s="669" t="s">
        <v>18</v>
      </c>
      <c r="C41" s="672" t="s">
        <v>699</v>
      </c>
      <c r="D41" s="270">
        <v>4</v>
      </c>
      <c r="E41" s="672" t="s">
        <v>699</v>
      </c>
      <c r="F41" s="100">
        <v>3</v>
      </c>
      <c r="G41" s="64"/>
      <c r="H41" s="64"/>
      <c r="I41" s="64"/>
      <c r="J41" s="64"/>
      <c r="K41" s="64"/>
      <c r="L41" s="64"/>
      <c r="M41" s="64"/>
      <c r="N41" s="64"/>
      <c r="O41" s="64"/>
      <c r="P41" s="64"/>
      <c r="Q41" s="64"/>
      <c r="R41" s="64"/>
      <c r="S41" s="64"/>
      <c r="T41" s="64"/>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row>
    <row r="42" spans="1:52" x14ac:dyDescent="0.2">
      <c r="A42" s="40"/>
      <c r="B42" s="669" t="s">
        <v>19</v>
      </c>
      <c r="C42" s="672" t="s">
        <v>699</v>
      </c>
      <c r="D42" s="264">
        <v>38</v>
      </c>
      <c r="E42" s="64"/>
      <c r="F42" s="64"/>
      <c r="G42" s="64"/>
      <c r="H42" s="64"/>
      <c r="I42" s="64"/>
      <c r="J42" s="64"/>
      <c r="K42" s="64"/>
      <c r="L42" s="64"/>
      <c r="M42" s="64"/>
      <c r="N42" s="64"/>
      <c r="O42" s="64"/>
      <c r="P42" s="64"/>
      <c r="Q42" s="64"/>
      <c r="R42" s="64"/>
      <c r="S42" s="64"/>
      <c r="T42" s="64"/>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row>
    <row r="43" spans="1:52" x14ac:dyDescent="0.2">
      <c r="A43" s="40"/>
      <c r="B43" s="669" t="s">
        <v>20</v>
      </c>
      <c r="C43" s="672" t="s">
        <v>699</v>
      </c>
      <c r="D43" s="264">
        <v>5</v>
      </c>
      <c r="E43" s="64"/>
      <c r="F43" s="64"/>
      <c r="G43" s="64"/>
      <c r="H43" s="64"/>
      <c r="I43" s="64"/>
      <c r="J43" s="64"/>
      <c r="K43" s="64"/>
      <c r="L43" s="64"/>
      <c r="M43" s="64"/>
      <c r="N43" s="64"/>
      <c r="O43" s="64"/>
      <c r="P43" s="64"/>
      <c r="Q43" s="64"/>
      <c r="R43" s="64"/>
      <c r="S43" s="64"/>
      <c r="T43" s="64"/>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row>
    <row r="44" spans="1:52" x14ac:dyDescent="0.2">
      <c r="A44" s="40"/>
      <c r="B44" s="669" t="s">
        <v>21</v>
      </c>
      <c r="C44" s="672" t="s">
        <v>699</v>
      </c>
      <c r="D44" s="264">
        <v>15</v>
      </c>
      <c r="E44" s="64"/>
      <c r="F44" s="64"/>
      <c r="G44" s="64"/>
      <c r="H44" s="64"/>
      <c r="I44" s="64"/>
      <c r="J44" s="64"/>
      <c r="K44" s="64"/>
      <c r="L44" s="64"/>
      <c r="M44" s="64"/>
      <c r="N44" s="64"/>
      <c r="O44" s="64"/>
      <c r="P44" s="64"/>
      <c r="Q44" s="64"/>
      <c r="R44" s="64"/>
      <c r="S44" s="64"/>
      <c r="T44" s="64"/>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row>
    <row r="45" spans="1:52" x14ac:dyDescent="0.2">
      <c r="A45" s="40"/>
      <c r="B45" s="669" t="s">
        <v>22</v>
      </c>
      <c r="C45" s="672" t="s">
        <v>699</v>
      </c>
      <c r="D45" s="264">
        <v>8</v>
      </c>
      <c r="E45" s="64"/>
      <c r="F45" s="64"/>
      <c r="G45" s="64"/>
      <c r="H45" s="64"/>
      <c r="I45" s="64"/>
      <c r="J45" s="64"/>
      <c r="K45" s="64"/>
      <c r="L45" s="64"/>
      <c r="M45" s="64"/>
      <c r="N45" s="64"/>
      <c r="O45" s="64"/>
      <c r="P45" s="64"/>
      <c r="Q45" s="64"/>
      <c r="R45" s="64"/>
      <c r="S45" s="64"/>
      <c r="T45" s="64"/>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row>
    <row r="46" spans="1:52" x14ac:dyDescent="0.2">
      <c r="A46" s="40"/>
      <c r="B46" s="669" t="s">
        <v>23</v>
      </c>
      <c r="C46" s="672" t="s">
        <v>699</v>
      </c>
      <c r="D46" s="264">
        <v>10</v>
      </c>
      <c r="E46" s="64"/>
      <c r="F46" s="64"/>
      <c r="G46" s="64"/>
      <c r="H46" s="64"/>
      <c r="I46" s="64"/>
      <c r="J46" s="64"/>
      <c r="K46" s="64"/>
      <c r="L46" s="64"/>
      <c r="M46" s="64"/>
      <c r="N46" s="64"/>
      <c r="O46" s="64"/>
      <c r="P46" s="64"/>
      <c r="Q46" s="64"/>
      <c r="R46" s="64"/>
      <c r="S46" s="64"/>
      <c r="T46" s="64"/>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row>
    <row r="47" spans="1:52" x14ac:dyDescent="0.2">
      <c r="A47" s="40"/>
      <c r="B47" s="64"/>
      <c r="C47" s="64"/>
      <c r="D47" s="64"/>
      <c r="E47" s="64"/>
      <c r="F47" s="64"/>
      <c r="G47" s="64"/>
      <c r="H47" s="64"/>
      <c r="I47" s="64"/>
      <c r="J47" s="64"/>
      <c r="K47" s="64"/>
      <c r="L47" s="64"/>
      <c r="M47" s="64"/>
      <c r="N47" s="64"/>
      <c r="O47" s="64"/>
      <c r="P47" s="64"/>
      <c r="Q47" s="64"/>
      <c r="R47" s="64"/>
      <c r="S47" s="64"/>
      <c r="T47" s="64"/>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row>
    <row r="48" spans="1:52" x14ac:dyDescent="0.2">
      <c r="A48" s="40"/>
      <c r="B48" s="64"/>
      <c r="C48" s="64"/>
      <c r="D48" s="64"/>
      <c r="E48" s="64"/>
      <c r="F48" s="64"/>
      <c r="G48" s="66" t="s">
        <v>738</v>
      </c>
      <c r="H48" s="64"/>
      <c r="I48" s="64"/>
      <c r="J48" s="64"/>
      <c r="K48" s="64"/>
      <c r="L48" s="64"/>
      <c r="M48" s="64"/>
      <c r="N48" s="64"/>
      <c r="O48" s="64"/>
      <c r="P48" s="64"/>
      <c r="Q48" s="64"/>
      <c r="R48" s="64"/>
      <c r="S48" s="64"/>
      <c r="T48" s="64"/>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row>
    <row r="49" spans="1:52" x14ac:dyDescent="0.2">
      <c r="A49" s="40"/>
      <c r="B49" s="209" t="s">
        <v>720</v>
      </c>
      <c r="C49" s="64"/>
      <c r="D49" s="64" t="s">
        <v>9</v>
      </c>
      <c r="E49" s="65"/>
      <c r="F49" s="66" t="s">
        <v>722</v>
      </c>
      <c r="G49" s="66" t="s">
        <v>723</v>
      </c>
      <c r="H49" s="66" t="s">
        <v>724</v>
      </c>
      <c r="I49" s="209"/>
      <c r="J49" s="209" t="s">
        <v>728</v>
      </c>
      <c r="K49" s="209"/>
      <c r="L49" s="209" t="s">
        <v>729</v>
      </c>
      <c r="M49" s="209"/>
      <c r="N49" s="209" t="s">
        <v>730</v>
      </c>
      <c r="O49" s="209"/>
      <c r="P49" s="64"/>
      <c r="Q49" s="64"/>
      <c r="R49" s="64"/>
      <c r="S49" s="64"/>
      <c r="T49" s="64"/>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row>
    <row r="50" spans="1:52" x14ac:dyDescent="0.2">
      <c r="A50" s="40"/>
      <c r="B50" s="64" t="s">
        <v>721</v>
      </c>
      <c r="C50" s="671" t="s">
        <v>636</v>
      </c>
      <c r="D50" s="65">
        <f>F50+G50+H50</f>
        <v>0</v>
      </c>
      <c r="E50" s="672" t="s">
        <v>699</v>
      </c>
      <c r="F50" s="667">
        <v>0</v>
      </c>
      <c r="G50" s="667">
        <v>0</v>
      </c>
      <c r="H50" s="667">
        <v>0</v>
      </c>
      <c r="I50" s="672" t="s">
        <v>699</v>
      </c>
      <c r="J50" s="100">
        <v>0</v>
      </c>
      <c r="K50" s="64"/>
      <c r="L50" s="100">
        <v>0</v>
      </c>
      <c r="M50" s="64"/>
      <c r="N50" s="100">
        <v>0</v>
      </c>
      <c r="O50" s="64"/>
      <c r="P50" s="64"/>
      <c r="Q50" s="64"/>
      <c r="R50" s="64"/>
      <c r="S50" s="64"/>
      <c r="T50" s="64"/>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row>
    <row r="51" spans="1:52" x14ac:dyDescent="0.2">
      <c r="A51" s="40"/>
      <c r="B51" s="64"/>
      <c r="C51" s="64"/>
      <c r="D51" s="65"/>
      <c r="E51" s="65"/>
      <c r="F51" s="66" t="s">
        <v>725</v>
      </c>
      <c r="G51" s="66"/>
      <c r="H51" s="66" t="s">
        <v>726</v>
      </c>
      <c r="I51" s="209"/>
      <c r="J51" s="64"/>
      <c r="K51" s="64"/>
      <c r="L51" s="64"/>
      <c r="M51" s="64"/>
      <c r="N51" s="64"/>
      <c r="O51" s="64"/>
      <c r="P51" s="64"/>
      <c r="Q51" s="64"/>
      <c r="R51" s="64"/>
      <c r="S51" s="64"/>
      <c r="T51" s="64"/>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row>
    <row r="52" spans="1:52" x14ac:dyDescent="0.2">
      <c r="A52" s="40"/>
      <c r="B52" s="64" t="s">
        <v>17</v>
      </c>
      <c r="C52" s="671" t="s">
        <v>636</v>
      </c>
      <c r="D52" s="65">
        <f>F52+H52</f>
        <v>0</v>
      </c>
      <c r="E52" s="672" t="s">
        <v>699</v>
      </c>
      <c r="F52" s="667">
        <v>0</v>
      </c>
      <c r="G52" s="64"/>
      <c r="H52" s="667">
        <v>0</v>
      </c>
      <c r="I52" s="672" t="s">
        <v>699</v>
      </c>
      <c r="J52" s="100">
        <v>0</v>
      </c>
      <c r="K52" s="64"/>
      <c r="L52" s="100">
        <v>0</v>
      </c>
      <c r="M52" s="64"/>
      <c r="N52" s="100">
        <v>0</v>
      </c>
      <c r="O52" s="64"/>
      <c r="P52" s="64"/>
      <c r="Q52" s="64"/>
      <c r="R52" s="64"/>
      <c r="S52" s="64"/>
      <c r="T52" s="64"/>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row>
    <row r="53" spans="1:52" x14ac:dyDescent="0.2">
      <c r="A53" s="40"/>
      <c r="B53" s="64"/>
      <c r="C53" s="64"/>
      <c r="D53" s="65"/>
      <c r="E53" s="735"/>
      <c r="F53" s="738"/>
      <c r="G53" s="739"/>
      <c r="H53" s="738"/>
      <c r="I53" s="209"/>
      <c r="J53" s="40"/>
      <c r="K53" s="64"/>
      <c r="L53" s="40"/>
      <c r="M53" s="64"/>
      <c r="N53" s="40"/>
      <c r="O53" s="64"/>
      <c r="P53" s="64"/>
      <c r="Q53" s="64"/>
      <c r="R53" s="64"/>
      <c r="S53" s="64"/>
      <c r="T53" s="64"/>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row>
    <row r="54" spans="1:52" x14ac:dyDescent="0.2">
      <c r="A54" s="40"/>
      <c r="B54" s="64" t="s">
        <v>731</v>
      </c>
      <c r="C54" s="672" t="s">
        <v>699</v>
      </c>
      <c r="D54" s="100">
        <v>0</v>
      </c>
      <c r="E54" s="735"/>
      <c r="F54" s="40"/>
      <c r="G54" s="40"/>
      <c r="H54" s="40"/>
      <c r="I54" s="672" t="s">
        <v>699</v>
      </c>
      <c r="J54" s="100">
        <v>0</v>
      </c>
      <c r="K54" s="64"/>
      <c r="L54" s="100">
        <v>0</v>
      </c>
      <c r="M54" s="64"/>
      <c r="N54" s="100">
        <v>0</v>
      </c>
      <c r="O54" s="64"/>
      <c r="P54" s="64"/>
      <c r="Q54" s="64"/>
      <c r="R54" s="64"/>
      <c r="S54" s="64"/>
      <c r="T54" s="64"/>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row>
    <row r="55" spans="1:52" x14ac:dyDescent="0.2">
      <c r="A55" s="40"/>
      <c r="B55" s="64" t="s">
        <v>727</v>
      </c>
      <c r="C55" s="672" t="s">
        <v>699</v>
      </c>
      <c r="D55" s="100">
        <v>0</v>
      </c>
      <c r="E55" s="64"/>
      <c r="F55" s="40"/>
      <c r="G55" s="40"/>
      <c r="H55" s="40"/>
      <c r="I55" s="672" t="s">
        <v>699</v>
      </c>
      <c r="J55" s="100">
        <v>0</v>
      </c>
      <c r="K55" s="64" t="s">
        <v>752</v>
      </c>
      <c r="L55" s="64"/>
      <c r="M55" s="64"/>
      <c r="N55" s="64"/>
      <c r="O55" s="64"/>
      <c r="P55" s="64"/>
      <c r="Q55" s="64"/>
      <c r="R55" s="64"/>
      <c r="S55" s="64"/>
      <c r="T55" s="64"/>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row>
    <row r="56" spans="1:52" x14ac:dyDescent="0.2">
      <c r="A56" s="40"/>
      <c r="B56" s="64"/>
      <c r="C56" s="64"/>
      <c r="D56" s="64"/>
      <c r="E56" s="64"/>
      <c r="F56" s="64"/>
      <c r="G56" s="64"/>
      <c r="H56" s="64"/>
      <c r="I56" s="64"/>
      <c r="J56" s="64"/>
      <c r="K56" s="64"/>
      <c r="L56" s="64"/>
      <c r="M56" s="64"/>
      <c r="N56" s="64"/>
      <c r="O56" s="64"/>
      <c r="P56" s="64"/>
      <c r="Q56" s="64"/>
      <c r="R56" s="64"/>
      <c r="S56" s="64"/>
      <c r="T56" s="64"/>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row>
    <row r="57" spans="1:52" x14ac:dyDescent="0.2">
      <c r="A57" s="40"/>
      <c r="B57" s="209" t="s">
        <v>797</v>
      </c>
      <c r="C57" s="40"/>
      <c r="D57" s="40"/>
      <c r="E57" s="40"/>
      <c r="F57" s="64"/>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row>
    <row r="58" spans="1:52" x14ac:dyDescent="0.2">
      <c r="A58" s="40"/>
      <c r="B58" s="64"/>
      <c r="C58" s="64"/>
      <c r="D58" s="209" t="s">
        <v>702</v>
      </c>
      <c r="E58" s="40"/>
      <c r="F58" s="64"/>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row>
    <row r="59" spans="1:52" x14ac:dyDescent="0.2">
      <c r="A59" s="40"/>
      <c r="B59" s="64" t="s">
        <v>733</v>
      </c>
      <c r="C59" s="672" t="s">
        <v>699</v>
      </c>
      <c r="D59" s="264">
        <v>0</v>
      </c>
      <c r="E59" s="40"/>
      <c r="F59" s="64"/>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row>
    <row r="60" spans="1:52" x14ac:dyDescent="0.2">
      <c r="A60" s="40"/>
      <c r="B60" s="64" t="s">
        <v>734</v>
      </c>
      <c r="C60" s="672" t="s">
        <v>699</v>
      </c>
      <c r="D60" s="264">
        <v>0</v>
      </c>
      <c r="E60" s="40"/>
      <c r="F60" s="64"/>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row>
    <row r="61" spans="1:52" x14ac:dyDescent="0.2">
      <c r="A61" s="40"/>
      <c r="B61" s="64" t="s">
        <v>735</v>
      </c>
      <c r="C61" s="672" t="s">
        <v>699</v>
      </c>
      <c r="D61" s="264">
        <v>0</v>
      </c>
      <c r="E61" s="40"/>
      <c r="F61" s="64"/>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row>
    <row r="62" spans="1:52" x14ac:dyDescent="0.2">
      <c r="A62" s="40"/>
      <c r="B62" s="64" t="s">
        <v>736</v>
      </c>
      <c r="C62" s="672" t="s">
        <v>699</v>
      </c>
      <c r="D62" s="264">
        <v>0</v>
      </c>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row>
    <row r="63" spans="1:52" x14ac:dyDescent="0.2">
      <c r="A63" s="40"/>
      <c r="B63" s="64" t="s">
        <v>737</v>
      </c>
      <c r="C63" s="672" t="s">
        <v>699</v>
      </c>
      <c r="D63" s="264">
        <v>0</v>
      </c>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row>
    <row r="64" spans="1:52" x14ac:dyDescent="0.2">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row>
    <row r="65" spans="1:52" x14ac:dyDescent="0.2">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row>
    <row r="66" spans="1:52" x14ac:dyDescent="0.2">
      <c r="A66" s="40"/>
      <c r="B66" s="710" t="s">
        <v>44</v>
      </c>
      <c r="C66" s="40"/>
      <c r="D66" s="709" t="s">
        <v>702</v>
      </c>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row>
    <row r="67" spans="1:52" x14ac:dyDescent="0.2">
      <c r="A67" s="40"/>
      <c r="B67" s="711" t="s">
        <v>174</v>
      </c>
      <c r="C67" s="672" t="s">
        <v>699</v>
      </c>
      <c r="D67" s="270">
        <v>0</v>
      </c>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row>
    <row r="68" spans="1:52" x14ac:dyDescent="0.2">
      <c r="A68" s="40"/>
      <c r="B68" s="711" t="s">
        <v>175</v>
      </c>
      <c r="C68" s="672" t="s">
        <v>699</v>
      </c>
      <c r="D68" s="708">
        <v>0</v>
      </c>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row>
    <row r="69" spans="1:52" x14ac:dyDescent="0.2">
      <c r="A69" s="40"/>
      <c r="B69" s="711"/>
      <c r="C69" s="40"/>
      <c r="D69" s="712" t="s">
        <v>408</v>
      </c>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row>
    <row r="70" spans="1:52" x14ac:dyDescent="0.2">
      <c r="A70" s="40"/>
      <c r="B70" s="711" t="s">
        <v>703</v>
      </c>
      <c r="C70" s="672" t="s">
        <v>699</v>
      </c>
      <c r="D70" s="270">
        <v>0</v>
      </c>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row>
    <row r="71" spans="1:52" x14ac:dyDescent="0.2">
      <c r="A71" s="40"/>
      <c r="B71" s="711" t="s">
        <v>704</v>
      </c>
      <c r="C71" s="672" t="s">
        <v>699</v>
      </c>
      <c r="D71" s="270">
        <v>0</v>
      </c>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row>
    <row r="72" spans="1:52" x14ac:dyDescent="0.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row>
    <row r="73" spans="1:52" x14ac:dyDescent="0.2">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row>
    <row r="74" spans="1:52" x14ac:dyDescent="0.2">
      <c r="A74" s="40"/>
      <c r="B74" s="507" t="s">
        <v>732</v>
      </c>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row>
    <row r="75" spans="1:52" x14ac:dyDescent="0.2">
      <c r="A75" s="40"/>
      <c r="B75" s="40"/>
      <c r="C75" s="40"/>
      <c r="D75" s="776" t="s">
        <v>803</v>
      </c>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row>
    <row r="76" spans="1:52" x14ac:dyDescent="0.2">
      <c r="A76" s="40"/>
      <c r="B76" s="507" t="s">
        <v>801</v>
      </c>
      <c r="C76" s="672" t="s">
        <v>699</v>
      </c>
      <c r="D76" s="270">
        <v>0</v>
      </c>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row>
    <row r="77" spans="1:52" x14ac:dyDescent="0.2">
      <c r="A77" s="40"/>
      <c r="B77" s="507" t="s">
        <v>802</v>
      </c>
      <c r="C77" s="672" t="s">
        <v>699</v>
      </c>
      <c r="D77" s="270">
        <v>0</v>
      </c>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row>
    <row r="78" spans="1:52" x14ac:dyDescent="0.2">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row>
    <row r="79" spans="1:52" x14ac:dyDescent="0.2">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row>
    <row r="80" spans="1:52" x14ac:dyDescent="0.2">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row>
    <row r="81" spans="1:52" x14ac:dyDescent="0.2">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row>
    <row r="82" spans="1:52" x14ac:dyDescent="0.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row>
    <row r="83" spans="1:52" x14ac:dyDescent="0.2">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row>
    <row r="84" spans="1:52" x14ac:dyDescent="0.2">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row>
    <row r="85" spans="1:52" x14ac:dyDescent="0.2">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row>
    <row r="86" spans="1:52" x14ac:dyDescent="0.2">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row>
    <row r="87" spans="1:52" x14ac:dyDescent="0.2">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row>
    <row r="88" spans="1:52" x14ac:dyDescent="0.2">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row>
    <row r="89" spans="1:52" x14ac:dyDescent="0.2">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row>
    <row r="90" spans="1:52" x14ac:dyDescent="0.2">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row>
    <row r="91" spans="1:52" x14ac:dyDescent="0.2">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row>
    <row r="92" spans="1:52" x14ac:dyDescent="0.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row>
    <row r="93" spans="1:52" x14ac:dyDescent="0.2">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row>
    <row r="94" spans="1:52" x14ac:dyDescent="0.2">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row>
    <row r="95" spans="1:52" x14ac:dyDescent="0.2">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row>
    <row r="96" spans="1:52" x14ac:dyDescent="0.2">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row>
    <row r="97" spans="1:52" x14ac:dyDescent="0.2">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row>
    <row r="98" spans="1:52" x14ac:dyDescent="0.2">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row>
    <row r="99" spans="1:52" x14ac:dyDescent="0.2">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row>
    <row r="100" spans="1:52" x14ac:dyDescent="0.2">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row>
    <row r="101" spans="1:52" x14ac:dyDescent="0.2">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row>
    <row r="102" spans="1:52" x14ac:dyDescent="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row>
    <row r="103" spans="1:52" x14ac:dyDescent="0.2">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row>
    <row r="104" spans="1:52" x14ac:dyDescent="0.2">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row>
    <row r="105" spans="1:52" x14ac:dyDescent="0.2">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row>
    <row r="106" spans="1:52" x14ac:dyDescent="0.2">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row>
    <row r="107" spans="1:52" x14ac:dyDescent="0.2">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row>
    <row r="108" spans="1:52" x14ac:dyDescent="0.2">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row>
    <row r="109" spans="1:52" x14ac:dyDescent="0.2">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row>
    <row r="110" spans="1:52" x14ac:dyDescent="0.2">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row>
    <row r="111" spans="1:52" x14ac:dyDescent="0.2">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row>
    <row r="112" spans="1:52" x14ac:dyDescent="0.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row>
    <row r="113" spans="1:52" x14ac:dyDescent="0.2">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row>
    <row r="114" spans="1:52" x14ac:dyDescent="0.2">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row>
    <row r="115" spans="1:52" x14ac:dyDescent="0.2">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row>
    <row r="116" spans="1:52" x14ac:dyDescent="0.2">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row>
    <row r="117" spans="1:52" x14ac:dyDescent="0.2">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row>
    <row r="118" spans="1:52" x14ac:dyDescent="0.2">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row>
    <row r="119" spans="1:52" x14ac:dyDescent="0.2">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row>
    <row r="120" spans="1:52" x14ac:dyDescent="0.2">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row>
    <row r="121" spans="1:52" x14ac:dyDescent="0.2">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row>
    <row r="122" spans="1:52" x14ac:dyDescent="0.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row>
    <row r="123" spans="1:52" x14ac:dyDescent="0.2">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row>
    <row r="124" spans="1:52" x14ac:dyDescent="0.2">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row>
    <row r="125" spans="1:52" x14ac:dyDescent="0.2">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row>
    <row r="126" spans="1:52" x14ac:dyDescent="0.2">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row>
    <row r="127" spans="1:52" x14ac:dyDescent="0.2">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row>
    <row r="128" spans="1:52" x14ac:dyDescent="0.2">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row>
    <row r="129" spans="1:52" x14ac:dyDescent="0.2">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row>
    <row r="130" spans="1:52" x14ac:dyDescent="0.2">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row>
    <row r="131" spans="1:52" x14ac:dyDescent="0.2">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row>
    <row r="132" spans="1:52" x14ac:dyDescent="0.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row>
    <row r="133" spans="1:52" x14ac:dyDescent="0.2">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row>
    <row r="134" spans="1:52" x14ac:dyDescent="0.2">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row>
    <row r="135" spans="1:52" x14ac:dyDescent="0.2">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row>
    <row r="136" spans="1:52" x14ac:dyDescent="0.2">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row>
    <row r="137" spans="1:52" x14ac:dyDescent="0.2">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row>
    <row r="138" spans="1:52" x14ac:dyDescent="0.2">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row>
    <row r="139" spans="1:52" x14ac:dyDescent="0.2">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row>
    <row r="140" spans="1:52" x14ac:dyDescent="0.2">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row>
    <row r="141" spans="1:52" x14ac:dyDescent="0.2">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row>
    <row r="142" spans="1:52" x14ac:dyDescent="0.2">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row>
    <row r="143" spans="1:52" x14ac:dyDescent="0.2">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row>
    <row r="144" spans="1:52" x14ac:dyDescent="0.2">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row>
    <row r="145" spans="21:52" x14ac:dyDescent="0.2">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row>
    <row r="146" spans="21:52" x14ac:dyDescent="0.2">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row>
    <row r="147" spans="21:52" x14ac:dyDescent="0.2">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row>
    <row r="148" spans="21:52" x14ac:dyDescent="0.2">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row>
    <row r="149" spans="21:52" x14ac:dyDescent="0.2">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row>
    <row r="150" spans="21:52" x14ac:dyDescent="0.2">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row>
    <row r="151" spans="21:52" x14ac:dyDescent="0.2">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row>
    <row r="152" spans="21:52" x14ac:dyDescent="0.2">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row>
    <row r="153" spans="21:52" x14ac:dyDescent="0.2">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row>
    <row r="154" spans="21:52" x14ac:dyDescent="0.2">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row>
    <row r="155" spans="21:52" x14ac:dyDescent="0.2">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row>
    <row r="156" spans="21:52" x14ac:dyDescent="0.2">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row>
    <row r="157" spans="21:52" x14ac:dyDescent="0.2">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row>
    <row r="158" spans="21:52" x14ac:dyDescent="0.2">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row>
    <row r="159" spans="21:52" x14ac:dyDescent="0.2">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row>
    <row r="160" spans="21:52" x14ac:dyDescent="0.2">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row>
    <row r="161" spans="21:52" x14ac:dyDescent="0.2">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row>
    <row r="162" spans="21:52" x14ac:dyDescent="0.2">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row>
    <row r="163" spans="21:52" x14ac:dyDescent="0.2">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row>
    <row r="164" spans="21:52" x14ac:dyDescent="0.2">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row>
    <row r="165" spans="21:52" x14ac:dyDescent="0.2">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row>
    <row r="166" spans="21:52" x14ac:dyDescent="0.2">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row>
    <row r="167" spans="21:52" x14ac:dyDescent="0.2">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row>
    <row r="168" spans="21:52" x14ac:dyDescent="0.2">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row>
    <row r="169" spans="21:52" x14ac:dyDescent="0.2">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row>
    <row r="170" spans="21:52" x14ac:dyDescent="0.2">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row>
    <row r="171" spans="21:52" x14ac:dyDescent="0.2">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row>
    <row r="172" spans="21:52" x14ac:dyDescent="0.2">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row>
    <row r="173" spans="21:52" x14ac:dyDescent="0.2">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row>
    <row r="174" spans="21:52" x14ac:dyDescent="0.2">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row>
    <row r="175" spans="21:52" x14ac:dyDescent="0.2">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row>
    <row r="176" spans="21:52" x14ac:dyDescent="0.2">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row>
    <row r="177" spans="21:52" x14ac:dyDescent="0.2">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row>
    <row r="178" spans="21:52" x14ac:dyDescent="0.2">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row>
    <row r="179" spans="21:52" x14ac:dyDescent="0.2">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row>
    <row r="180" spans="21:52" x14ac:dyDescent="0.2">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row>
    <row r="181" spans="21:52" x14ac:dyDescent="0.2">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row>
    <row r="182" spans="21:52" x14ac:dyDescent="0.2">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row>
    <row r="183" spans="21:52" x14ac:dyDescent="0.2">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row>
    <row r="184" spans="21:52" x14ac:dyDescent="0.2">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row>
    <row r="185" spans="21:52" x14ac:dyDescent="0.2">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row>
    <row r="186" spans="21:52" x14ac:dyDescent="0.2">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row>
    <row r="187" spans="21:52" x14ac:dyDescent="0.2">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row>
    <row r="188" spans="21:52" x14ac:dyDescent="0.2">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row>
    <row r="189" spans="21:52" x14ac:dyDescent="0.2">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row>
    <row r="190" spans="21:52" x14ac:dyDescent="0.2">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row>
    <row r="191" spans="21:52" x14ac:dyDescent="0.2">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row>
    <row r="192" spans="21:52" x14ac:dyDescent="0.2">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row>
    <row r="193" spans="21:52" x14ac:dyDescent="0.2">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row>
    <row r="194" spans="21:52" x14ac:dyDescent="0.2">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row>
    <row r="195" spans="21:52" x14ac:dyDescent="0.2">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row>
    <row r="196" spans="21:52" x14ac:dyDescent="0.2">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row>
    <row r="197" spans="21:52" x14ac:dyDescent="0.2">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row>
    <row r="198" spans="21:52" x14ac:dyDescent="0.2">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row>
    <row r="199" spans="21:52" x14ac:dyDescent="0.2">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row>
    <row r="200" spans="21:52" x14ac:dyDescent="0.2">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row>
    <row r="201" spans="21:52" x14ac:dyDescent="0.2">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row>
    <row r="202" spans="21:52" x14ac:dyDescent="0.2">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row>
    <row r="203" spans="21:52" x14ac:dyDescent="0.2">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row>
    <row r="204" spans="21:52" x14ac:dyDescent="0.2">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row>
    <row r="205" spans="21:52" x14ac:dyDescent="0.2">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row>
    <row r="206" spans="21:52" x14ac:dyDescent="0.2">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row>
    <row r="207" spans="21:52" x14ac:dyDescent="0.2">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row>
    <row r="208" spans="21:52" x14ac:dyDescent="0.2">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row>
    <row r="209" spans="21:52" x14ac:dyDescent="0.2">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row>
    <row r="210" spans="21:52" x14ac:dyDescent="0.2">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row>
    <row r="211" spans="21:52" x14ac:dyDescent="0.2">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row>
    <row r="212" spans="21:52" x14ac:dyDescent="0.2">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row>
    <row r="213" spans="21:52" x14ac:dyDescent="0.2">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row>
    <row r="214" spans="21:52" x14ac:dyDescent="0.2">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row>
    <row r="215" spans="21:52" x14ac:dyDescent="0.2">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row>
    <row r="216" spans="21:52" x14ac:dyDescent="0.2">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row>
    <row r="217" spans="21:52" x14ac:dyDescent="0.2">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row>
    <row r="218" spans="21:52" x14ac:dyDescent="0.2">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row>
    <row r="219" spans="21:52" x14ac:dyDescent="0.2">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row>
    <row r="220" spans="21:52" x14ac:dyDescent="0.2">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row>
    <row r="221" spans="21:52" x14ac:dyDescent="0.2">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row>
    <row r="222" spans="21:52" x14ac:dyDescent="0.2">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row>
    <row r="223" spans="21:52" x14ac:dyDescent="0.2">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row>
    <row r="224" spans="21:52" x14ac:dyDescent="0.2">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row>
    <row r="225" spans="21:52" x14ac:dyDescent="0.2">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row>
    <row r="226" spans="21:52" x14ac:dyDescent="0.2">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row>
    <row r="227" spans="21:52" x14ac:dyDescent="0.2">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row>
    <row r="228" spans="21:52" x14ac:dyDescent="0.2">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row>
    <row r="229" spans="21:52" x14ac:dyDescent="0.2">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row>
    <row r="230" spans="21:52" x14ac:dyDescent="0.2">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row>
    <row r="231" spans="21:52" x14ac:dyDescent="0.2">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row>
    <row r="232" spans="21:52" x14ac:dyDescent="0.2">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row>
    <row r="233" spans="21:52" x14ac:dyDescent="0.2">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row>
    <row r="234" spans="21:52" x14ac:dyDescent="0.2">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row>
    <row r="235" spans="21:52" x14ac:dyDescent="0.2">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row>
    <row r="236" spans="21:52" x14ac:dyDescent="0.2">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row>
    <row r="237" spans="21:52" x14ac:dyDescent="0.2">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row>
    <row r="238" spans="21:52" x14ac:dyDescent="0.2">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row>
    <row r="239" spans="21:52" x14ac:dyDescent="0.2">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row>
    <row r="240" spans="21:52" x14ac:dyDescent="0.2">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row>
    <row r="241" spans="21:52" x14ac:dyDescent="0.2">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row>
    <row r="242" spans="21:52" x14ac:dyDescent="0.2">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row>
    <row r="243" spans="21:52" x14ac:dyDescent="0.2">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row>
    <row r="244" spans="21:52" x14ac:dyDescent="0.2">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row>
    <row r="245" spans="21:52" x14ac:dyDescent="0.2">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row>
    <row r="246" spans="21:52" x14ac:dyDescent="0.2">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row>
    <row r="247" spans="21:52" x14ac:dyDescent="0.2">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row>
    <row r="248" spans="21:52" x14ac:dyDescent="0.2">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row>
    <row r="249" spans="21:52" x14ac:dyDescent="0.2">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row>
    <row r="250" spans="21:52" x14ac:dyDescent="0.2">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row>
    <row r="251" spans="21:52" x14ac:dyDescent="0.2">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row>
    <row r="252" spans="21:52" x14ac:dyDescent="0.2">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row>
    <row r="253" spans="21:52" x14ac:dyDescent="0.2">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row>
    <row r="254" spans="21:52" x14ac:dyDescent="0.2">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row>
    <row r="255" spans="21:52" x14ac:dyDescent="0.2">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row>
    <row r="256" spans="21:52" x14ac:dyDescent="0.2">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row>
    <row r="257" spans="21:52" x14ac:dyDescent="0.2">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row>
    <row r="258" spans="21:52" x14ac:dyDescent="0.2">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row>
    <row r="259" spans="21:52" x14ac:dyDescent="0.2">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row>
    <row r="260" spans="21:52" x14ac:dyDescent="0.2">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row>
    <row r="261" spans="21:52" x14ac:dyDescent="0.2">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row>
    <row r="262" spans="21:52" x14ac:dyDescent="0.2">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row>
    <row r="263" spans="21:52" x14ac:dyDescent="0.2">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row>
    <row r="264" spans="21:52" x14ac:dyDescent="0.2">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row>
    <row r="265" spans="21:52" x14ac:dyDescent="0.2">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row>
    <row r="266" spans="21:52" x14ac:dyDescent="0.2">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row>
    <row r="267" spans="21:52" x14ac:dyDescent="0.2">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row>
    <row r="268" spans="21:52" x14ac:dyDescent="0.2">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row>
    <row r="269" spans="21:52" x14ac:dyDescent="0.2">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row>
    <row r="270" spans="21:52" x14ac:dyDescent="0.2">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row>
    <row r="271" spans="21:52" x14ac:dyDescent="0.2">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row>
    <row r="272" spans="21:52" x14ac:dyDescent="0.2">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row>
    <row r="273" spans="21:52" x14ac:dyDescent="0.2">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row>
    <row r="274" spans="21:52" x14ac:dyDescent="0.2">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row>
    <row r="275" spans="21:52" x14ac:dyDescent="0.2">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row>
    <row r="276" spans="21:52" x14ac:dyDescent="0.2">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row>
    <row r="277" spans="21:52" x14ac:dyDescent="0.2">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row>
    <row r="278" spans="21:52" x14ac:dyDescent="0.2">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row>
    <row r="279" spans="21:52" x14ac:dyDescent="0.2">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row>
    <row r="280" spans="21:52" x14ac:dyDescent="0.2">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row>
    <row r="281" spans="21:52" x14ac:dyDescent="0.2">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row>
    <row r="282" spans="21:52" x14ac:dyDescent="0.2">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row>
    <row r="283" spans="21:52" x14ac:dyDescent="0.2">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row>
    <row r="284" spans="21:52" x14ac:dyDescent="0.2">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row>
    <row r="285" spans="21:52" x14ac:dyDescent="0.2">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row>
    <row r="286" spans="21:52" x14ac:dyDescent="0.2">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row>
    <row r="287" spans="21:52" x14ac:dyDescent="0.2">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row>
    <row r="288" spans="21:52" x14ac:dyDescent="0.2">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row>
    <row r="289" spans="21:52" x14ac:dyDescent="0.2">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row>
    <row r="290" spans="21:52" x14ac:dyDescent="0.2">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row>
    <row r="291" spans="21:52" x14ac:dyDescent="0.2">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row>
    <row r="292" spans="21:52" x14ac:dyDescent="0.2">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row>
    <row r="293" spans="21:52" x14ac:dyDescent="0.2">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row>
    <row r="294" spans="21:52" x14ac:dyDescent="0.2">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row>
    <row r="295" spans="21:52" x14ac:dyDescent="0.2">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row>
    <row r="296" spans="21:52" x14ac:dyDescent="0.2">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row>
    <row r="297" spans="21:52" x14ac:dyDescent="0.2">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row>
    <row r="298" spans="21:52" x14ac:dyDescent="0.2">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row>
    <row r="299" spans="21:52" x14ac:dyDescent="0.2">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row>
    <row r="300" spans="21:52" x14ac:dyDescent="0.2">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row>
    <row r="301" spans="21:52" x14ac:dyDescent="0.2">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row>
    <row r="302" spans="21:52" x14ac:dyDescent="0.2">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row>
    <row r="303" spans="21:52" x14ac:dyDescent="0.2">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row>
    <row r="304" spans="21:52" x14ac:dyDescent="0.2">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row>
    <row r="305" spans="21:52" x14ac:dyDescent="0.2">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row>
    <row r="306" spans="21:52" x14ac:dyDescent="0.2">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row>
    <row r="307" spans="21:52" x14ac:dyDescent="0.2">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row>
    <row r="308" spans="21:52" x14ac:dyDescent="0.2">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row>
    <row r="309" spans="21:52" x14ac:dyDescent="0.2">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row>
    <row r="310" spans="21:52" x14ac:dyDescent="0.2">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row>
    <row r="311" spans="21:52" x14ac:dyDescent="0.2">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row>
    <row r="312" spans="21:52" x14ac:dyDescent="0.2">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row>
    <row r="313" spans="21:52" x14ac:dyDescent="0.2">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row>
    <row r="314" spans="21:52" x14ac:dyDescent="0.2">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row>
    <row r="315" spans="21:52" x14ac:dyDescent="0.2">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row>
    <row r="316" spans="21:52" x14ac:dyDescent="0.2">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row>
    <row r="317" spans="21:52" x14ac:dyDescent="0.2">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row>
    <row r="318" spans="21:52" x14ac:dyDescent="0.2">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row>
    <row r="319" spans="21:52" x14ac:dyDescent="0.2">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row>
    <row r="320" spans="21:52" x14ac:dyDescent="0.2">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row>
    <row r="321" spans="21:52" x14ac:dyDescent="0.2">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row>
    <row r="322" spans="21:52" x14ac:dyDescent="0.2">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row>
    <row r="323" spans="21:52" x14ac:dyDescent="0.2">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row>
    <row r="324" spans="21:52" x14ac:dyDescent="0.2">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row>
    <row r="325" spans="21:52" x14ac:dyDescent="0.2">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row>
    <row r="326" spans="21:52" x14ac:dyDescent="0.2">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row>
    <row r="327" spans="21:52" x14ac:dyDescent="0.2">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row>
    <row r="328" spans="21:52" x14ac:dyDescent="0.2">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row>
    <row r="329" spans="21:52" x14ac:dyDescent="0.2">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row>
    <row r="330" spans="21:52" x14ac:dyDescent="0.2">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row>
    <row r="331" spans="21:52" x14ac:dyDescent="0.2">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row>
    <row r="332" spans="21:52" x14ac:dyDescent="0.2">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row>
    <row r="333" spans="21:52" x14ac:dyDescent="0.2">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row>
    <row r="334" spans="21:52" x14ac:dyDescent="0.2">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row>
    <row r="335" spans="21:52" x14ac:dyDescent="0.2">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row>
    <row r="336" spans="21:52" x14ac:dyDescent="0.2">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row>
    <row r="337" spans="21:52" x14ac:dyDescent="0.2">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row>
    <row r="338" spans="21:52" x14ac:dyDescent="0.2">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row>
    <row r="339" spans="21:52" x14ac:dyDescent="0.2">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row>
    <row r="340" spans="21:52" x14ac:dyDescent="0.2">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row>
    <row r="341" spans="21:52" x14ac:dyDescent="0.2">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row>
    <row r="342" spans="21:52" x14ac:dyDescent="0.2">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row>
    <row r="343" spans="21:52" x14ac:dyDescent="0.2">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row>
    <row r="344" spans="21:52" x14ac:dyDescent="0.2">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row>
    <row r="345" spans="21:52" x14ac:dyDescent="0.2">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row>
    <row r="346" spans="21:52" x14ac:dyDescent="0.2">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row>
    <row r="347" spans="21:52" x14ac:dyDescent="0.2">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row>
    <row r="348" spans="21:52" x14ac:dyDescent="0.2">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row>
    <row r="349" spans="21:52" x14ac:dyDescent="0.2">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row>
    <row r="350" spans="21:52" x14ac:dyDescent="0.2">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row>
    <row r="351" spans="21:52" x14ac:dyDescent="0.2">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row>
    <row r="352" spans="21:52" x14ac:dyDescent="0.2">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row>
    <row r="353" spans="21:52" x14ac:dyDescent="0.2">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row>
    <row r="354" spans="21:52" x14ac:dyDescent="0.2">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row>
    <row r="355" spans="21:52" x14ac:dyDescent="0.2">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row>
    <row r="356" spans="21:52" x14ac:dyDescent="0.2">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row>
    <row r="357" spans="21:52" x14ac:dyDescent="0.2">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row>
    <row r="358" spans="21:52" x14ac:dyDescent="0.2">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row>
    <row r="359" spans="21:52" x14ac:dyDescent="0.2">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row>
    <row r="360" spans="21:52" x14ac:dyDescent="0.2">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row>
    <row r="361" spans="21:52" x14ac:dyDescent="0.2">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row>
    <row r="362" spans="21:52" x14ac:dyDescent="0.2">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row>
    <row r="363" spans="21:52" x14ac:dyDescent="0.2">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row>
    <row r="364" spans="21:52" x14ac:dyDescent="0.2">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row>
    <row r="365" spans="21:52" x14ac:dyDescent="0.2">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row>
    <row r="366" spans="21:52" x14ac:dyDescent="0.2">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row>
    <row r="367" spans="21:52" x14ac:dyDescent="0.2">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row>
    <row r="368" spans="21:52" x14ac:dyDescent="0.2">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row>
    <row r="369" spans="21:52" x14ac:dyDescent="0.2">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row>
    <row r="370" spans="21:52" x14ac:dyDescent="0.2">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row>
    <row r="371" spans="21:52" x14ac:dyDescent="0.2">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row>
    <row r="372" spans="21:52" x14ac:dyDescent="0.2">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row>
    <row r="373" spans="21:52" x14ac:dyDescent="0.2">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row>
    <row r="374" spans="21:52" x14ac:dyDescent="0.2">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row>
    <row r="375" spans="21:52" x14ac:dyDescent="0.2">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row>
    <row r="376" spans="21:52" x14ac:dyDescent="0.2">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row>
    <row r="377" spans="21:52" x14ac:dyDescent="0.2">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row>
    <row r="378" spans="21:52" x14ac:dyDescent="0.2">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row>
    <row r="379" spans="21:52" x14ac:dyDescent="0.2">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row>
    <row r="380" spans="21:52" x14ac:dyDescent="0.2">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row>
    <row r="381" spans="21:52" x14ac:dyDescent="0.2">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row>
    <row r="382" spans="21:52" x14ac:dyDescent="0.2">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row>
    <row r="383" spans="21:52" x14ac:dyDescent="0.2">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row>
    <row r="384" spans="21:52" x14ac:dyDescent="0.2">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row>
    <row r="385" spans="21:52" x14ac:dyDescent="0.2">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row>
    <row r="386" spans="21:52" x14ac:dyDescent="0.2">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row>
    <row r="387" spans="21:52" x14ac:dyDescent="0.2">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row>
    <row r="388" spans="21:52" x14ac:dyDescent="0.2">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row>
    <row r="389" spans="21:52" x14ac:dyDescent="0.2">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row>
    <row r="390" spans="21:52" x14ac:dyDescent="0.2">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row>
    <row r="391" spans="21:52" x14ac:dyDescent="0.2">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row>
    <row r="392" spans="21:52" x14ac:dyDescent="0.2">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row>
    <row r="393" spans="21:52" x14ac:dyDescent="0.2">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row>
    <row r="394" spans="21:52" x14ac:dyDescent="0.2">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row>
    <row r="395" spans="21:52" x14ac:dyDescent="0.2">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row>
    <row r="396" spans="21:52" x14ac:dyDescent="0.2">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row>
    <row r="397" spans="21:52" x14ac:dyDescent="0.2">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row>
    <row r="398" spans="21:52" x14ac:dyDescent="0.2">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row>
    <row r="399" spans="21:52" x14ac:dyDescent="0.2">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row>
    <row r="400" spans="21:52" x14ac:dyDescent="0.2">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row>
    <row r="401" spans="21:52" x14ac:dyDescent="0.2">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row>
    <row r="402" spans="21:52" x14ac:dyDescent="0.2">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row>
    <row r="403" spans="21:52" x14ac:dyDescent="0.2">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row>
    <row r="404" spans="21:52" x14ac:dyDescent="0.2">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row>
    <row r="405" spans="21:52" x14ac:dyDescent="0.2">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row>
    <row r="406" spans="21:52" x14ac:dyDescent="0.2">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row>
    <row r="407" spans="21:52" x14ac:dyDescent="0.2">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row>
    <row r="408" spans="21:52" x14ac:dyDescent="0.2">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row>
    <row r="409" spans="21:52" x14ac:dyDescent="0.2">
      <c r="U409" s="40"/>
      <c r="V409" s="40"/>
      <c r="W409" s="40"/>
      <c r="X409" s="40"/>
      <c r="Y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row>
    <row r="410" spans="21:52" x14ac:dyDescent="0.2">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row>
    <row r="411" spans="21:52" x14ac:dyDescent="0.2">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row>
    <row r="412" spans="21:52" x14ac:dyDescent="0.2">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row>
    <row r="413" spans="21:52" x14ac:dyDescent="0.2">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row>
    <row r="414" spans="21:52" x14ac:dyDescent="0.2">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row>
    <row r="415" spans="21:52" x14ac:dyDescent="0.2">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row>
    <row r="416" spans="21:52" x14ac:dyDescent="0.2">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row>
    <row r="417" spans="21:52" x14ac:dyDescent="0.2">
      <c r="U417" s="40"/>
      <c r="V417" s="40"/>
      <c r="W417" s="40"/>
      <c r="X417" s="40"/>
      <c r="Y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row>
    <row r="418" spans="21:52" x14ac:dyDescent="0.2">
      <c r="U418" s="40"/>
      <c r="V418" s="40"/>
      <c r="W418" s="40"/>
      <c r="X418" s="40"/>
      <c r="Y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row>
    <row r="419" spans="21:52" x14ac:dyDescent="0.2">
      <c r="U419" s="40"/>
      <c r="V419" s="40"/>
      <c r="W419" s="40"/>
      <c r="X419" s="40"/>
      <c r="Y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row>
    <row r="420" spans="21:52" x14ac:dyDescent="0.2">
      <c r="U420" s="40"/>
      <c r="V420" s="40"/>
      <c r="W420" s="40"/>
      <c r="X420" s="40"/>
      <c r="Y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row>
    <row r="421" spans="21:52" x14ac:dyDescent="0.2">
      <c r="U421" s="40"/>
      <c r="V421" s="40"/>
      <c r="W421" s="40"/>
      <c r="X421" s="40"/>
      <c r="Y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row>
    <row r="422" spans="21:52" x14ac:dyDescent="0.2">
      <c r="U422" s="40"/>
      <c r="V422" s="40"/>
      <c r="W422" s="40"/>
      <c r="X422" s="40"/>
      <c r="Y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row>
    <row r="423" spans="21:52" x14ac:dyDescent="0.2">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row>
    <row r="424" spans="21:52" x14ac:dyDescent="0.2">
      <c r="U424" s="40"/>
      <c r="V424" s="40"/>
      <c r="W424" s="40"/>
      <c r="X424" s="40"/>
      <c r="Y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row>
    <row r="425" spans="21:52" x14ac:dyDescent="0.2">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row>
    <row r="426" spans="21:52" x14ac:dyDescent="0.2">
      <c r="U426" s="40"/>
      <c r="V426" s="40"/>
      <c r="W426" s="40"/>
      <c r="X426" s="40"/>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row>
    <row r="427" spans="21:52" x14ac:dyDescent="0.2">
      <c r="U427" s="40"/>
      <c r="V427" s="40"/>
      <c r="W427" s="40"/>
      <c r="X427" s="40"/>
      <c r="Y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row>
    <row r="428" spans="21:52" x14ac:dyDescent="0.2">
      <c r="U428" s="40"/>
      <c r="V428" s="40"/>
      <c r="W428" s="40"/>
      <c r="X428" s="40"/>
      <c r="Y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row>
    <row r="429" spans="21:52" x14ac:dyDescent="0.2">
      <c r="U429" s="40"/>
      <c r="V429" s="40"/>
      <c r="W429" s="40"/>
      <c r="X429" s="40"/>
      <c r="Y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row>
    <row r="430" spans="21:52" x14ac:dyDescent="0.2">
      <c r="U430" s="40"/>
      <c r="V430" s="40"/>
      <c r="W430" s="40"/>
      <c r="X430" s="40"/>
      <c r="Y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row>
    <row r="431" spans="21:52" x14ac:dyDescent="0.2">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row>
    <row r="432" spans="21:52" x14ac:dyDescent="0.2">
      <c r="U432" s="40"/>
      <c r="V432" s="40"/>
      <c r="W432" s="40"/>
      <c r="X432" s="40"/>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row>
    <row r="433" spans="21:52" x14ac:dyDescent="0.2">
      <c r="U433" s="40"/>
      <c r="V433" s="40"/>
      <c r="W433" s="40"/>
      <c r="X433" s="40"/>
      <c r="Y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row>
    <row r="434" spans="21:52" x14ac:dyDescent="0.2">
      <c r="U434" s="40"/>
      <c r="V434" s="40"/>
      <c r="W434" s="40"/>
      <c r="X434" s="40"/>
      <c r="Y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row>
    <row r="435" spans="21:52" x14ac:dyDescent="0.2">
      <c r="U435" s="40"/>
      <c r="V435" s="40"/>
      <c r="W435" s="40"/>
      <c r="X435" s="40"/>
      <c r="Y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row>
    <row r="436" spans="21:52" x14ac:dyDescent="0.2">
      <c r="U436" s="40"/>
      <c r="V436" s="40"/>
      <c r="W436" s="40"/>
      <c r="X436" s="40"/>
      <c r="Y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row>
    <row r="437" spans="21:52" x14ac:dyDescent="0.2">
      <c r="U437" s="40"/>
      <c r="V437" s="40"/>
      <c r="W437" s="40"/>
      <c r="X437" s="40"/>
      <c r="Y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row>
    <row r="438" spans="21:52" x14ac:dyDescent="0.2">
      <c r="U438" s="40"/>
      <c r="V438" s="40"/>
      <c r="W438" s="40"/>
      <c r="X438" s="40"/>
      <c r="Y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row>
    <row r="439" spans="21:52" x14ac:dyDescent="0.2">
      <c r="U439" s="40"/>
      <c r="V439" s="40"/>
      <c r="W439" s="40"/>
      <c r="X439" s="40"/>
      <c r="Y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row>
    <row r="440" spans="21:52" x14ac:dyDescent="0.2">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row>
    <row r="441" spans="21:52" x14ac:dyDescent="0.2">
      <c r="U441" s="40"/>
      <c r="V441" s="40"/>
      <c r="W441" s="40"/>
      <c r="X441" s="40"/>
      <c r="Y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row>
    <row r="442" spans="21:52" x14ac:dyDescent="0.2">
      <c r="U442" s="40"/>
      <c r="V442" s="40"/>
      <c r="W442" s="40"/>
      <c r="X442" s="40"/>
      <c r="Y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row>
    <row r="443" spans="21:52" x14ac:dyDescent="0.2">
      <c r="U443" s="40"/>
      <c r="V443" s="40"/>
      <c r="W443" s="40"/>
      <c r="X443" s="40"/>
      <c r="Y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row>
    <row r="444" spans="21:52" x14ac:dyDescent="0.2">
      <c r="U444" s="40"/>
      <c r="V444" s="40"/>
      <c r="W444" s="40"/>
      <c r="X444" s="40"/>
      <c r="Y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row>
    <row r="445" spans="21:52" x14ac:dyDescent="0.2">
      <c r="U445" s="40"/>
      <c r="V445" s="40"/>
      <c r="W445" s="40"/>
      <c r="X445" s="40"/>
      <c r="Y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row>
    <row r="446" spans="21:52" x14ac:dyDescent="0.2">
      <c r="U446" s="40"/>
      <c r="V446" s="40"/>
      <c r="W446" s="40"/>
      <c r="X446" s="40"/>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row>
    <row r="447" spans="21:52" x14ac:dyDescent="0.2">
      <c r="U447" s="40"/>
      <c r="V447" s="40"/>
      <c r="W447" s="40"/>
      <c r="X447" s="40"/>
      <c r="Y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row>
    <row r="448" spans="21:52" x14ac:dyDescent="0.2">
      <c r="U448" s="40"/>
      <c r="V448" s="40"/>
      <c r="W448" s="40"/>
      <c r="X448" s="40"/>
      <c r="Y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row>
    <row r="449" spans="21:52" x14ac:dyDescent="0.2">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row>
    <row r="450" spans="21:52" x14ac:dyDescent="0.2">
      <c r="U450" s="40"/>
      <c r="V450" s="40"/>
      <c r="W450" s="40"/>
      <c r="X450" s="40"/>
      <c r="Y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row>
    <row r="451" spans="21:52" x14ac:dyDescent="0.2">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row>
    <row r="452" spans="21:52" x14ac:dyDescent="0.2">
      <c r="U452" s="40"/>
      <c r="V452" s="40"/>
      <c r="W452" s="40"/>
      <c r="X452" s="40"/>
      <c r="Y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row>
    <row r="453" spans="21:52" x14ac:dyDescent="0.2">
      <c r="U453" s="40"/>
      <c r="V453" s="40"/>
      <c r="W453" s="40"/>
      <c r="X453" s="40"/>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row>
    <row r="454" spans="21:52" x14ac:dyDescent="0.2">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row>
    <row r="455" spans="21:52" x14ac:dyDescent="0.2">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row>
    <row r="456" spans="21:52" x14ac:dyDescent="0.2">
      <c r="U456" s="40"/>
      <c r="V456" s="40"/>
      <c r="W456" s="40"/>
      <c r="X456" s="40"/>
      <c r="Y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row>
    <row r="457" spans="21:52" x14ac:dyDescent="0.2">
      <c r="U457" s="40"/>
      <c r="V457" s="40"/>
      <c r="W457" s="40"/>
      <c r="X457" s="40"/>
      <c r="Y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row>
    <row r="458" spans="21:52" x14ac:dyDescent="0.2">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row>
    <row r="459" spans="21:52" x14ac:dyDescent="0.2">
      <c r="U459" s="40"/>
      <c r="V459" s="40"/>
      <c r="W459" s="40"/>
      <c r="X459" s="40"/>
      <c r="Y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row>
    <row r="460" spans="21:52" x14ac:dyDescent="0.2">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row>
    <row r="461" spans="21:52" x14ac:dyDescent="0.2">
      <c r="U461" s="40"/>
      <c r="V461" s="40"/>
      <c r="W461" s="40"/>
      <c r="X461" s="40"/>
      <c r="Y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row>
    <row r="462" spans="21:52" x14ac:dyDescent="0.2">
      <c r="U462" s="40"/>
      <c r="V462" s="40"/>
      <c r="W462" s="40"/>
      <c r="X462" s="40"/>
      <c r="Y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row>
    <row r="463" spans="21:52" x14ac:dyDescent="0.2">
      <c r="U463" s="40"/>
      <c r="V463" s="40"/>
      <c r="W463" s="40"/>
      <c r="X463" s="40"/>
      <c r="Y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row>
    <row r="464" spans="21:52" x14ac:dyDescent="0.2">
      <c r="U464" s="40"/>
      <c r="V464" s="40"/>
      <c r="W464" s="40"/>
      <c r="X464" s="40"/>
      <c r="Y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row>
    <row r="465" spans="21:52" x14ac:dyDescent="0.2">
      <c r="U465" s="40"/>
      <c r="V465" s="40"/>
      <c r="W465" s="40"/>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row>
    <row r="466" spans="21:52" x14ac:dyDescent="0.2">
      <c r="U466" s="40"/>
      <c r="V466" s="40"/>
      <c r="W466" s="40"/>
      <c r="X466" s="40"/>
      <c r="Y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row>
    <row r="467" spans="21:52" x14ac:dyDescent="0.2">
      <c r="U467" s="40"/>
      <c r="V467" s="40"/>
      <c r="W467" s="40"/>
      <c r="X467" s="40"/>
      <c r="Y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row>
    <row r="468" spans="21:52" x14ac:dyDescent="0.2">
      <c r="U468" s="40"/>
      <c r="V468" s="40"/>
      <c r="W468" s="40"/>
      <c r="X468" s="40"/>
      <c r="Y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row>
    <row r="469" spans="21:52" x14ac:dyDescent="0.2">
      <c r="U469" s="40"/>
      <c r="V469" s="40"/>
      <c r="W469" s="40"/>
      <c r="X469" s="40"/>
      <c r="Y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row>
    <row r="470" spans="21:52" x14ac:dyDescent="0.2">
      <c r="U470" s="40"/>
      <c r="V470" s="40"/>
      <c r="W470" s="40"/>
      <c r="X470" s="40"/>
      <c r="Y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row>
    <row r="471" spans="21:52" x14ac:dyDescent="0.2">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row>
    <row r="472" spans="21:52" x14ac:dyDescent="0.2">
      <c r="U472" s="40"/>
      <c r="V472" s="40"/>
      <c r="W472" s="40"/>
      <c r="X472" s="40"/>
      <c r="Y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row>
    <row r="473" spans="21:52" x14ac:dyDescent="0.2">
      <c r="U473" s="40"/>
      <c r="V473" s="40"/>
      <c r="W473" s="40"/>
      <c r="X473" s="40"/>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row>
    <row r="474" spans="21:52" x14ac:dyDescent="0.2">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row>
    <row r="475" spans="21:52" x14ac:dyDescent="0.2">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row>
    <row r="476" spans="21:52" x14ac:dyDescent="0.2">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row>
    <row r="477" spans="21:52" x14ac:dyDescent="0.2">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row>
    <row r="478" spans="21:52" x14ac:dyDescent="0.2">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row>
    <row r="479" spans="21:52" x14ac:dyDescent="0.2">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row>
    <row r="480" spans="21:52" x14ac:dyDescent="0.2">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row>
    <row r="481" spans="21:52" x14ac:dyDescent="0.2">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row>
    <row r="482" spans="21:52" x14ac:dyDescent="0.2">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row>
    <row r="483" spans="21:52" x14ac:dyDescent="0.2">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row>
    <row r="484" spans="21:52" x14ac:dyDescent="0.2">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row>
    <row r="485" spans="21:52" x14ac:dyDescent="0.2">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row>
    <row r="486" spans="21:52" x14ac:dyDescent="0.2">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row>
    <row r="487" spans="21:52" x14ac:dyDescent="0.2">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row>
    <row r="488" spans="21:52" x14ac:dyDescent="0.2">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row>
    <row r="489" spans="21:52" x14ac:dyDescent="0.2">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row>
    <row r="490" spans="21:52" x14ac:dyDescent="0.2">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row>
    <row r="491" spans="21:52" x14ac:dyDescent="0.2">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row>
    <row r="492" spans="21:52" x14ac:dyDescent="0.2">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row>
    <row r="493" spans="21:52" x14ac:dyDescent="0.2">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row>
    <row r="494" spans="21:52" x14ac:dyDescent="0.2">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row>
    <row r="495" spans="21:52" x14ac:dyDescent="0.2">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row>
    <row r="496" spans="21:52" x14ac:dyDescent="0.2">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row>
    <row r="497" spans="21:52" x14ac:dyDescent="0.2">
      <c r="U497" s="40"/>
      <c r="V497" s="40"/>
      <c r="W497" s="40"/>
      <c r="X497" s="40"/>
      <c r="Y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row>
    <row r="498" spans="21:52" x14ac:dyDescent="0.2">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row>
    <row r="499" spans="21:52" x14ac:dyDescent="0.2">
      <c r="U499" s="40"/>
      <c r="V499" s="40"/>
      <c r="W499" s="40"/>
      <c r="X499" s="40"/>
      <c r="Y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row>
    <row r="500" spans="21:52" x14ac:dyDescent="0.2">
      <c r="U500" s="40"/>
      <c r="V500" s="40"/>
      <c r="W500" s="40"/>
      <c r="X500" s="40"/>
      <c r="Y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row>
    <row r="501" spans="21:52" x14ac:dyDescent="0.2">
      <c r="U501" s="40"/>
      <c r="V501" s="40"/>
      <c r="W501" s="40"/>
      <c r="X501" s="40"/>
      <c r="Y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row>
    <row r="502" spans="21:52" x14ac:dyDescent="0.2">
      <c r="U502" s="40"/>
      <c r="V502" s="40"/>
      <c r="W502" s="40"/>
      <c r="X502" s="40"/>
      <c r="Y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row>
    <row r="503" spans="21:52" x14ac:dyDescent="0.2">
      <c r="U503" s="40"/>
      <c r="V503" s="40"/>
      <c r="W503" s="40"/>
      <c r="X503" s="40"/>
      <c r="Y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row>
    <row r="504" spans="21:52" x14ac:dyDescent="0.2">
      <c r="U504" s="40"/>
      <c r="V504" s="40"/>
      <c r="W504" s="40"/>
      <c r="X504" s="40"/>
      <c r="Y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row>
    <row r="505" spans="21:52" x14ac:dyDescent="0.2">
      <c r="U505" s="40"/>
      <c r="V505" s="40"/>
      <c r="W505" s="40"/>
      <c r="X505" s="40"/>
      <c r="Y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row>
    <row r="506" spans="21:52" x14ac:dyDescent="0.2">
      <c r="U506" s="40"/>
      <c r="V506" s="40"/>
      <c r="W506" s="40"/>
      <c r="X506" s="40"/>
      <c r="Y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row>
    <row r="507" spans="21:52" x14ac:dyDescent="0.2">
      <c r="U507" s="40"/>
      <c r="V507" s="40"/>
      <c r="W507" s="40"/>
      <c r="X507" s="40"/>
      <c r="Y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row>
    <row r="508" spans="21:52" x14ac:dyDescent="0.2">
      <c r="U508" s="40"/>
      <c r="V508" s="40"/>
      <c r="W508" s="40"/>
      <c r="X508" s="40"/>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row>
    <row r="509" spans="21:52" x14ac:dyDescent="0.2">
      <c r="U509" s="40"/>
      <c r="V509" s="40"/>
      <c r="W509" s="40"/>
      <c r="X509" s="40"/>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row>
    <row r="510" spans="21:52" x14ac:dyDescent="0.2">
      <c r="U510" s="40"/>
      <c r="V510" s="40"/>
      <c r="W510" s="40"/>
      <c r="X510" s="40"/>
      <c r="Y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row>
    <row r="511" spans="21:52" x14ac:dyDescent="0.2">
      <c r="U511" s="40"/>
      <c r="V511" s="40"/>
      <c r="W511" s="40"/>
      <c r="X511" s="40"/>
      <c r="Y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row>
    <row r="512" spans="21:52" x14ac:dyDescent="0.2">
      <c r="U512" s="40"/>
      <c r="V512" s="40"/>
      <c r="W512" s="40"/>
      <c r="X512" s="40"/>
      <c r="Y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row>
    <row r="513" spans="21:52" x14ac:dyDescent="0.2">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row>
    <row r="514" spans="21:52" x14ac:dyDescent="0.2">
      <c r="U514" s="40"/>
      <c r="V514" s="40"/>
      <c r="W514" s="40"/>
      <c r="X514" s="40"/>
      <c r="Y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row>
    <row r="515" spans="21:52" x14ac:dyDescent="0.2">
      <c r="U515" s="40"/>
      <c r="V515" s="40"/>
      <c r="W515" s="40"/>
      <c r="X515" s="40"/>
      <c r="Y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row>
    <row r="516" spans="21:52" x14ac:dyDescent="0.2">
      <c r="U516" s="40"/>
      <c r="V516" s="40"/>
      <c r="W516" s="40"/>
      <c r="X516" s="40"/>
      <c r="Y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row>
    <row r="517" spans="21:52" x14ac:dyDescent="0.2">
      <c r="U517" s="40"/>
      <c r="V517" s="40"/>
      <c r="W517" s="40"/>
      <c r="X517" s="40"/>
      <c r="Y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row>
    <row r="518" spans="21:52" x14ac:dyDescent="0.2">
      <c r="U518" s="40"/>
      <c r="V518" s="40"/>
      <c r="W518" s="40"/>
      <c r="X518" s="40"/>
      <c r="Y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row>
    <row r="519" spans="21:52" x14ac:dyDescent="0.2">
      <c r="U519" s="40"/>
      <c r="V519" s="40"/>
      <c r="W519" s="40"/>
      <c r="X519" s="40"/>
      <c r="Y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row>
    <row r="520" spans="21:52" x14ac:dyDescent="0.2">
      <c r="U520" s="40"/>
      <c r="V520" s="40"/>
      <c r="W520" s="40"/>
      <c r="X520" s="40"/>
      <c r="Y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row>
    <row r="521" spans="21:52" x14ac:dyDescent="0.2">
      <c r="U521" s="40"/>
      <c r="V521" s="40"/>
      <c r="W521" s="40"/>
      <c r="X521" s="40"/>
      <c r="Y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row>
    <row r="522" spans="21:52" x14ac:dyDescent="0.2">
      <c r="U522" s="40"/>
      <c r="V522" s="40"/>
      <c r="W522" s="40"/>
      <c r="X522" s="40"/>
      <c r="Y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row>
    <row r="523" spans="21:52" x14ac:dyDescent="0.2">
      <c r="U523" s="40"/>
      <c r="V523" s="40"/>
      <c r="W523" s="40"/>
      <c r="X523" s="40"/>
      <c r="Y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row>
    <row r="524" spans="21:52" x14ac:dyDescent="0.2">
      <c r="U524" s="40"/>
      <c r="V524" s="40"/>
      <c r="W524" s="40"/>
      <c r="X524" s="40"/>
      <c r="Y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row>
    <row r="525" spans="21:52" x14ac:dyDescent="0.2">
      <c r="U525" s="40"/>
      <c r="V525" s="40"/>
      <c r="W525" s="40"/>
      <c r="X525" s="40"/>
      <c r="Y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row>
    <row r="526" spans="21:52" x14ac:dyDescent="0.2">
      <c r="U526" s="40"/>
      <c r="V526" s="40"/>
      <c r="W526" s="40"/>
      <c r="X526" s="40"/>
      <c r="Y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row>
    <row r="527" spans="21:52" x14ac:dyDescent="0.2">
      <c r="U527" s="40"/>
      <c r="V527" s="40"/>
      <c r="W527" s="40"/>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row>
    <row r="528" spans="21:52" x14ac:dyDescent="0.2">
      <c r="U528" s="40"/>
      <c r="V528" s="40"/>
      <c r="W528" s="40"/>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row>
    <row r="529" spans="21:52" x14ac:dyDescent="0.2">
      <c r="U529" s="40"/>
      <c r="V529" s="40"/>
      <c r="W529" s="40"/>
      <c r="X529" s="40"/>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row>
    <row r="530" spans="21:52" x14ac:dyDescent="0.2">
      <c r="U530" s="40"/>
      <c r="V530" s="40"/>
      <c r="W530" s="40"/>
      <c r="X530" s="40"/>
      <c r="Y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row>
    <row r="531" spans="21:52" x14ac:dyDescent="0.2">
      <c r="U531" s="40"/>
      <c r="V531" s="40"/>
      <c r="W531" s="40"/>
      <c r="X531" s="40"/>
      <c r="Y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row>
    <row r="532" spans="21:52" x14ac:dyDescent="0.2">
      <c r="U532" s="40"/>
      <c r="V532" s="40"/>
      <c r="W532" s="40"/>
      <c r="X532" s="40"/>
      <c r="Y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row>
    <row r="533" spans="21:52" x14ac:dyDescent="0.2">
      <c r="U533" s="40"/>
      <c r="V533" s="40"/>
      <c r="W533" s="40"/>
      <c r="X533" s="40"/>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row>
    <row r="534" spans="21:52" x14ac:dyDescent="0.2">
      <c r="U534" s="40"/>
      <c r="V534" s="40"/>
      <c r="W534" s="40"/>
      <c r="X534" s="40"/>
      <c r="Y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row>
    <row r="535" spans="21:52" x14ac:dyDescent="0.2">
      <c r="U535" s="40"/>
      <c r="V535" s="40"/>
      <c r="W535" s="40"/>
      <c r="X535" s="40"/>
      <c r="Y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row>
    <row r="536" spans="21:52" x14ac:dyDescent="0.2">
      <c r="U536" s="40"/>
      <c r="V536" s="40"/>
      <c r="W536" s="40"/>
      <c r="X536" s="40"/>
      <c r="Y536" s="40"/>
      <c r="Z536" s="40"/>
      <c r="AA536" s="40"/>
      <c r="AB536" s="40"/>
      <c r="AC536" s="40"/>
      <c r="AD536" s="40"/>
      <c r="AE536" s="40"/>
      <c r="AF536" s="40"/>
      <c r="AG536" s="40"/>
      <c r="AH536" s="40"/>
      <c r="AI536" s="40"/>
      <c r="AJ536" s="40"/>
      <c r="AK536" s="40"/>
      <c r="AL536" s="40"/>
      <c r="AM536" s="40"/>
      <c r="AN536" s="40"/>
      <c r="AO536" s="40"/>
      <c r="AP536" s="40"/>
      <c r="AQ536" s="40"/>
      <c r="AR536" s="40"/>
      <c r="AS536" s="40"/>
      <c r="AT536" s="40"/>
      <c r="AU536" s="40"/>
      <c r="AV536" s="40"/>
      <c r="AW536" s="40"/>
      <c r="AX536" s="40"/>
      <c r="AY536" s="40"/>
      <c r="AZ536" s="40"/>
    </row>
    <row r="537" spans="21:52" x14ac:dyDescent="0.2">
      <c r="U537" s="40"/>
      <c r="V537" s="40"/>
      <c r="W537" s="40"/>
      <c r="X537" s="40"/>
      <c r="Y537" s="40"/>
      <c r="Z537" s="40"/>
      <c r="AA537" s="40"/>
      <c r="AB537" s="40"/>
      <c r="AC537" s="40"/>
      <c r="AD537" s="40"/>
      <c r="AE537" s="40"/>
      <c r="AF537" s="40"/>
      <c r="AG537" s="40"/>
      <c r="AH537" s="40"/>
      <c r="AI537" s="40"/>
      <c r="AJ537" s="40"/>
      <c r="AK537" s="40"/>
      <c r="AL537" s="40"/>
      <c r="AM537" s="40"/>
      <c r="AN537" s="40"/>
      <c r="AO537" s="40"/>
      <c r="AP537" s="40"/>
      <c r="AQ537" s="40"/>
      <c r="AR537" s="40"/>
      <c r="AS537" s="40"/>
      <c r="AT537" s="40"/>
      <c r="AU537" s="40"/>
      <c r="AV537" s="40"/>
      <c r="AW537" s="40"/>
      <c r="AX537" s="40"/>
      <c r="AY537" s="40"/>
      <c r="AZ537" s="40"/>
    </row>
    <row r="538" spans="21:52" x14ac:dyDescent="0.2">
      <c r="U538" s="40"/>
      <c r="V538" s="40"/>
      <c r="W538" s="40"/>
      <c r="X538" s="40"/>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row>
    <row r="539" spans="21:52" x14ac:dyDescent="0.2">
      <c r="U539" s="40"/>
      <c r="V539" s="40"/>
      <c r="W539" s="40"/>
      <c r="X539" s="40"/>
      <c r="Y539" s="40"/>
      <c r="Z539" s="40"/>
      <c r="AA539" s="40"/>
      <c r="AB539" s="40"/>
      <c r="AC539" s="40"/>
      <c r="AD539" s="40"/>
      <c r="AE539" s="40"/>
      <c r="AF539" s="40"/>
      <c r="AG539" s="40"/>
      <c r="AH539" s="40"/>
      <c r="AI539" s="40"/>
      <c r="AJ539" s="40"/>
      <c r="AK539" s="40"/>
      <c r="AL539" s="40"/>
      <c r="AM539" s="40"/>
      <c r="AN539" s="40"/>
      <c r="AO539" s="40"/>
      <c r="AP539" s="40"/>
      <c r="AQ539" s="40"/>
      <c r="AR539" s="40"/>
      <c r="AS539" s="40"/>
      <c r="AT539" s="40"/>
      <c r="AU539" s="40"/>
      <c r="AV539" s="40"/>
      <c r="AW539" s="40"/>
      <c r="AX539" s="40"/>
      <c r="AY539" s="40"/>
      <c r="AZ539" s="40"/>
    </row>
    <row r="540" spans="21:52" x14ac:dyDescent="0.2">
      <c r="U540" s="40"/>
      <c r="V540" s="40"/>
      <c r="W540" s="40"/>
      <c r="X540" s="40"/>
      <c r="Y540" s="40"/>
      <c r="Z540" s="40"/>
      <c r="AA540" s="40"/>
      <c r="AB540" s="40"/>
      <c r="AC540" s="40"/>
      <c r="AD540" s="40"/>
      <c r="AE540" s="40"/>
      <c r="AF540" s="40"/>
      <c r="AG540" s="40"/>
      <c r="AH540" s="40"/>
      <c r="AI540" s="40"/>
      <c r="AJ540" s="40"/>
      <c r="AK540" s="40"/>
      <c r="AL540" s="40"/>
      <c r="AM540" s="40"/>
      <c r="AN540" s="40"/>
      <c r="AO540" s="40"/>
      <c r="AP540" s="40"/>
      <c r="AQ540" s="40"/>
      <c r="AR540" s="40"/>
      <c r="AS540" s="40"/>
      <c r="AT540" s="40"/>
      <c r="AU540" s="40"/>
      <c r="AV540" s="40"/>
      <c r="AW540" s="40"/>
      <c r="AX540" s="40"/>
      <c r="AY540" s="40"/>
      <c r="AZ540" s="40"/>
    </row>
    <row r="541" spans="21:52" x14ac:dyDescent="0.2">
      <c r="U541" s="40"/>
      <c r="V541" s="40"/>
      <c r="W541" s="40"/>
      <c r="X541" s="40"/>
      <c r="Y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row>
    <row r="542" spans="21:52" x14ac:dyDescent="0.2">
      <c r="U542" s="40"/>
      <c r="V542" s="40"/>
      <c r="W542" s="40"/>
      <c r="X542" s="40"/>
      <c r="Y542" s="40"/>
      <c r="Z542" s="40"/>
      <c r="AA542" s="40"/>
      <c r="AB542" s="40"/>
      <c r="AC542" s="40"/>
      <c r="AD542" s="40"/>
      <c r="AE542" s="40"/>
      <c r="AF542" s="40"/>
      <c r="AG542" s="40"/>
      <c r="AH542" s="40"/>
      <c r="AI542" s="40"/>
      <c r="AJ542" s="40"/>
      <c r="AK542" s="40"/>
      <c r="AL542" s="40"/>
      <c r="AM542" s="40"/>
      <c r="AN542" s="40"/>
      <c r="AO542" s="40"/>
      <c r="AP542" s="40"/>
      <c r="AQ542" s="40"/>
      <c r="AR542" s="40"/>
      <c r="AS542" s="40"/>
      <c r="AT542" s="40"/>
      <c r="AU542" s="40"/>
      <c r="AV542" s="40"/>
      <c r="AW542" s="40"/>
      <c r="AX542" s="40"/>
      <c r="AY542" s="40"/>
      <c r="AZ542" s="40"/>
    </row>
    <row r="543" spans="21:52" x14ac:dyDescent="0.2">
      <c r="U543" s="40"/>
      <c r="V543" s="40"/>
      <c r="W543" s="40"/>
      <c r="X543" s="40"/>
      <c r="Y543" s="40"/>
      <c r="Z543" s="40"/>
      <c r="AA543" s="40"/>
      <c r="AB543" s="40"/>
      <c r="AC543" s="40"/>
      <c r="AD543" s="40"/>
      <c r="AE543" s="40"/>
      <c r="AF543" s="40"/>
      <c r="AG543" s="40"/>
      <c r="AH543" s="40"/>
      <c r="AI543" s="40"/>
      <c r="AJ543" s="40"/>
      <c r="AK543" s="40"/>
      <c r="AL543" s="40"/>
      <c r="AM543" s="40"/>
      <c r="AN543" s="40"/>
      <c r="AO543" s="40"/>
      <c r="AP543" s="40"/>
      <c r="AQ543" s="40"/>
      <c r="AR543" s="40"/>
      <c r="AS543" s="40"/>
      <c r="AT543" s="40"/>
      <c r="AU543" s="40"/>
      <c r="AV543" s="40"/>
      <c r="AW543" s="40"/>
      <c r="AX543" s="40"/>
      <c r="AY543" s="40"/>
      <c r="AZ543" s="40"/>
    </row>
    <row r="544" spans="21:52" x14ac:dyDescent="0.2">
      <c r="U544" s="40"/>
      <c r="V544" s="40"/>
      <c r="W544" s="40"/>
      <c r="X544" s="40"/>
      <c r="Y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row>
    <row r="545" spans="21:52" x14ac:dyDescent="0.2">
      <c r="U545" s="40"/>
      <c r="V545" s="40"/>
      <c r="W545" s="40"/>
      <c r="X545" s="40"/>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row>
    <row r="546" spans="21:52" x14ac:dyDescent="0.2">
      <c r="U546" s="40"/>
      <c r="V546" s="40"/>
      <c r="W546" s="40"/>
      <c r="X546" s="40"/>
      <c r="Y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row>
    <row r="547" spans="21:52" x14ac:dyDescent="0.2">
      <c r="U547" s="40"/>
      <c r="V547" s="40"/>
      <c r="W547" s="40"/>
      <c r="X547" s="40"/>
      <c r="Y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row>
    <row r="548" spans="21:52" x14ac:dyDescent="0.2">
      <c r="U548" s="40"/>
      <c r="V548" s="40"/>
      <c r="W548" s="40"/>
      <c r="X548" s="40"/>
      <c r="Y548" s="40"/>
      <c r="Z548" s="40"/>
      <c r="AA548" s="40"/>
      <c r="AB548" s="40"/>
      <c r="AC548" s="40"/>
      <c r="AD548" s="40"/>
      <c r="AE548" s="40"/>
      <c r="AF548" s="40"/>
      <c r="AG548" s="40"/>
      <c r="AH548" s="40"/>
      <c r="AI548" s="40"/>
      <c r="AJ548" s="40"/>
      <c r="AK548" s="40"/>
      <c r="AL548" s="40"/>
      <c r="AM548" s="40"/>
      <c r="AN548" s="40"/>
      <c r="AO548" s="40"/>
      <c r="AP548" s="40"/>
      <c r="AQ548" s="40"/>
      <c r="AR548" s="40"/>
      <c r="AS548" s="40"/>
      <c r="AT548" s="40"/>
      <c r="AU548" s="40"/>
      <c r="AV548" s="40"/>
      <c r="AW548" s="40"/>
      <c r="AX548" s="40"/>
      <c r="AY548" s="40"/>
      <c r="AZ548" s="40"/>
    </row>
    <row r="549" spans="21:52" x14ac:dyDescent="0.2">
      <c r="U549" s="40"/>
      <c r="V549" s="40"/>
      <c r="W549" s="40"/>
      <c r="X549" s="40"/>
      <c r="Y549" s="40"/>
      <c r="Z549" s="40"/>
      <c r="AA549" s="40"/>
      <c r="AB549" s="40"/>
      <c r="AC549" s="40"/>
      <c r="AD549" s="40"/>
      <c r="AE549" s="40"/>
      <c r="AF549" s="40"/>
      <c r="AG549" s="40"/>
      <c r="AH549" s="40"/>
      <c r="AI549" s="40"/>
      <c r="AJ549" s="40"/>
      <c r="AK549" s="40"/>
      <c r="AL549" s="40"/>
      <c r="AM549" s="40"/>
      <c r="AN549" s="40"/>
      <c r="AO549" s="40"/>
      <c r="AP549" s="40"/>
      <c r="AQ549" s="40"/>
      <c r="AR549" s="40"/>
      <c r="AS549" s="40"/>
      <c r="AT549" s="40"/>
      <c r="AU549" s="40"/>
      <c r="AV549" s="40"/>
      <c r="AW549" s="40"/>
      <c r="AX549" s="40"/>
      <c r="AY549" s="40"/>
      <c r="AZ549" s="40"/>
    </row>
    <row r="550" spans="21:52" x14ac:dyDescent="0.2">
      <c r="U550" s="40"/>
      <c r="V550" s="40"/>
      <c r="W550" s="40"/>
      <c r="X550" s="40"/>
      <c r="Y550" s="40"/>
      <c r="Z550" s="40"/>
      <c r="AA550" s="40"/>
      <c r="AB550" s="40"/>
      <c r="AC550" s="40"/>
      <c r="AD550" s="40"/>
      <c r="AE550" s="40"/>
      <c r="AF550" s="40"/>
      <c r="AG550" s="40"/>
      <c r="AH550" s="40"/>
      <c r="AI550" s="40"/>
      <c r="AJ550" s="40"/>
      <c r="AK550" s="40"/>
      <c r="AL550" s="40"/>
      <c r="AM550" s="40"/>
      <c r="AN550" s="40"/>
      <c r="AO550" s="40"/>
      <c r="AP550" s="40"/>
      <c r="AQ550" s="40"/>
      <c r="AR550" s="40"/>
      <c r="AS550" s="40"/>
      <c r="AT550" s="40"/>
      <c r="AU550" s="40"/>
      <c r="AV550" s="40"/>
      <c r="AW550" s="40"/>
      <c r="AX550" s="40"/>
      <c r="AY550" s="40"/>
      <c r="AZ550" s="40"/>
    </row>
    <row r="551" spans="21:52" x14ac:dyDescent="0.2">
      <c r="U551" s="40"/>
      <c r="V551" s="40"/>
      <c r="W551" s="40"/>
      <c r="X551" s="40"/>
      <c r="Y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row>
    <row r="552" spans="21:52" x14ac:dyDescent="0.2">
      <c r="U552" s="40"/>
      <c r="V552" s="40"/>
      <c r="W552" s="40"/>
      <c r="X552" s="40"/>
      <c r="Y552" s="40"/>
      <c r="Z552" s="40"/>
      <c r="AA552" s="40"/>
      <c r="AB552" s="40"/>
      <c r="AC552" s="40"/>
      <c r="AD552" s="40"/>
      <c r="AE552" s="40"/>
      <c r="AF552" s="40"/>
      <c r="AG552" s="40"/>
      <c r="AH552" s="40"/>
      <c r="AI552" s="40"/>
      <c r="AJ552" s="40"/>
      <c r="AK552" s="40"/>
      <c r="AL552" s="40"/>
      <c r="AM552" s="40"/>
      <c r="AN552" s="40"/>
      <c r="AO552" s="40"/>
      <c r="AP552" s="40"/>
      <c r="AQ552" s="40"/>
      <c r="AR552" s="40"/>
      <c r="AS552" s="40"/>
      <c r="AT552" s="40"/>
      <c r="AU552" s="40"/>
      <c r="AV552" s="40"/>
      <c r="AW552" s="40"/>
      <c r="AX552" s="40"/>
      <c r="AY552" s="40"/>
      <c r="AZ552" s="40"/>
    </row>
    <row r="553" spans="21:52" x14ac:dyDescent="0.2">
      <c r="U553" s="40"/>
      <c r="V553" s="40"/>
      <c r="W553" s="40"/>
      <c r="X553" s="40"/>
      <c r="Y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row>
    <row r="554" spans="21:52" x14ac:dyDescent="0.2">
      <c r="U554" s="40"/>
      <c r="V554" s="40"/>
      <c r="W554" s="40"/>
      <c r="X554" s="40"/>
      <c r="Y554" s="40"/>
      <c r="Z554" s="40"/>
      <c r="AA554" s="40"/>
      <c r="AB554" s="40"/>
      <c r="AC554" s="40"/>
      <c r="AD554" s="40"/>
      <c r="AE554" s="40"/>
      <c r="AF554" s="40"/>
      <c r="AG554" s="40"/>
      <c r="AH554" s="40"/>
      <c r="AI554" s="40"/>
      <c r="AJ554" s="40"/>
      <c r="AK554" s="40"/>
      <c r="AL554" s="40"/>
      <c r="AM554" s="40"/>
      <c r="AN554" s="40"/>
      <c r="AO554" s="40"/>
      <c r="AP554" s="40"/>
      <c r="AQ554" s="40"/>
      <c r="AR554" s="40"/>
      <c r="AS554" s="40"/>
      <c r="AT554" s="40"/>
      <c r="AU554" s="40"/>
      <c r="AV554" s="40"/>
      <c r="AW554" s="40"/>
      <c r="AX554" s="40"/>
      <c r="AY554" s="40"/>
      <c r="AZ554" s="40"/>
    </row>
    <row r="555" spans="21:52" x14ac:dyDescent="0.2">
      <c r="U555" s="40"/>
      <c r="V555" s="40"/>
      <c r="W555" s="40"/>
      <c r="X555" s="40"/>
      <c r="Y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row>
    <row r="556" spans="21:52" x14ac:dyDescent="0.2">
      <c r="U556" s="40"/>
      <c r="V556" s="40"/>
      <c r="W556" s="40"/>
      <c r="X556" s="40"/>
      <c r="Y556" s="40"/>
      <c r="Z556" s="40"/>
      <c r="AA556" s="40"/>
      <c r="AB556" s="40"/>
      <c r="AC556" s="40"/>
      <c r="AD556" s="40"/>
      <c r="AE556" s="40"/>
      <c r="AF556" s="40"/>
      <c r="AG556" s="40"/>
      <c r="AH556" s="40"/>
      <c r="AI556" s="40"/>
      <c r="AJ556" s="40"/>
      <c r="AK556" s="40"/>
      <c r="AL556" s="40"/>
      <c r="AM556" s="40"/>
      <c r="AN556" s="40"/>
      <c r="AO556" s="40"/>
      <c r="AP556" s="40"/>
      <c r="AQ556" s="40"/>
      <c r="AR556" s="40"/>
      <c r="AS556" s="40"/>
      <c r="AT556" s="40"/>
      <c r="AU556" s="40"/>
      <c r="AV556" s="40"/>
      <c r="AW556" s="40"/>
      <c r="AX556" s="40"/>
      <c r="AY556" s="40"/>
      <c r="AZ556" s="40"/>
    </row>
    <row r="557" spans="21:52" x14ac:dyDescent="0.2">
      <c r="U557" s="40"/>
      <c r="V557" s="40"/>
      <c r="W557" s="40"/>
      <c r="X557" s="40"/>
      <c r="Y557" s="40"/>
      <c r="Z557" s="40"/>
      <c r="AA557" s="40"/>
      <c r="AB557" s="40"/>
      <c r="AC557" s="40"/>
      <c r="AD557" s="40"/>
      <c r="AE557" s="40"/>
      <c r="AF557" s="40"/>
      <c r="AG557" s="40"/>
      <c r="AH557" s="40"/>
      <c r="AI557" s="40"/>
      <c r="AJ557" s="40"/>
      <c r="AK557" s="40"/>
      <c r="AL557" s="40"/>
      <c r="AM557" s="40"/>
      <c r="AN557" s="40"/>
      <c r="AO557" s="40"/>
      <c r="AP557" s="40"/>
      <c r="AQ557" s="40"/>
      <c r="AR557" s="40"/>
      <c r="AS557" s="40"/>
      <c r="AT557" s="40"/>
      <c r="AU557" s="40"/>
      <c r="AV557" s="40"/>
      <c r="AW557" s="40"/>
      <c r="AX557" s="40"/>
      <c r="AY557" s="40"/>
      <c r="AZ557" s="40"/>
    </row>
    <row r="558" spans="21:52" x14ac:dyDescent="0.2">
      <c r="U558" s="40"/>
      <c r="V558" s="40"/>
      <c r="W558" s="40"/>
      <c r="X558" s="40"/>
      <c r="Y558" s="40"/>
      <c r="Z558" s="40"/>
      <c r="AA558" s="40"/>
      <c r="AB558" s="40"/>
      <c r="AC558" s="40"/>
      <c r="AD558" s="40"/>
      <c r="AE558" s="40"/>
      <c r="AF558" s="40"/>
      <c r="AG558" s="40"/>
      <c r="AH558" s="40"/>
      <c r="AI558" s="40"/>
      <c r="AJ558" s="40"/>
      <c r="AK558" s="40"/>
      <c r="AL558" s="40"/>
      <c r="AM558" s="40"/>
      <c r="AN558" s="40"/>
      <c r="AO558" s="40"/>
      <c r="AP558" s="40"/>
      <c r="AQ558" s="40"/>
      <c r="AR558" s="40"/>
      <c r="AS558" s="40"/>
      <c r="AT558" s="40"/>
      <c r="AU558" s="40"/>
      <c r="AV558" s="40"/>
      <c r="AW558" s="40"/>
      <c r="AX558" s="40"/>
      <c r="AY558" s="40"/>
      <c r="AZ558" s="40"/>
    </row>
    <row r="559" spans="21:52" x14ac:dyDescent="0.2">
      <c r="U559" s="40"/>
      <c r="V559" s="40"/>
      <c r="W559" s="40"/>
      <c r="X559" s="40"/>
      <c r="Y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row>
    <row r="560" spans="21:52" x14ac:dyDescent="0.2">
      <c r="U560" s="40"/>
      <c r="V560" s="40"/>
      <c r="W560" s="40"/>
      <c r="X560" s="40"/>
      <c r="Y560" s="40"/>
      <c r="Z560" s="40"/>
      <c r="AA560" s="40"/>
      <c r="AB560" s="40"/>
      <c r="AC560" s="40"/>
      <c r="AD560" s="40"/>
      <c r="AE560" s="40"/>
      <c r="AF560" s="40"/>
      <c r="AG560" s="40"/>
      <c r="AH560" s="40"/>
      <c r="AI560" s="40"/>
      <c r="AJ560" s="40"/>
      <c r="AK560" s="40"/>
      <c r="AL560" s="40"/>
      <c r="AM560" s="40"/>
      <c r="AN560" s="40"/>
      <c r="AO560" s="40"/>
      <c r="AP560" s="40"/>
      <c r="AQ560" s="40"/>
      <c r="AR560" s="40"/>
      <c r="AS560" s="40"/>
      <c r="AT560" s="40"/>
      <c r="AU560" s="40"/>
      <c r="AV560" s="40"/>
      <c r="AW560" s="40"/>
      <c r="AX560" s="40"/>
      <c r="AY560" s="40"/>
      <c r="AZ560" s="40"/>
    </row>
    <row r="561" spans="21:52" x14ac:dyDescent="0.2">
      <c r="U561" s="40"/>
      <c r="V561" s="40"/>
      <c r="W561" s="40"/>
      <c r="X561" s="40"/>
      <c r="Y561" s="40"/>
      <c r="Z561" s="40"/>
      <c r="AA561" s="40"/>
      <c r="AB561" s="40"/>
      <c r="AC561" s="40"/>
      <c r="AD561" s="40"/>
      <c r="AE561" s="40"/>
      <c r="AF561" s="40"/>
      <c r="AG561" s="40"/>
      <c r="AH561" s="40"/>
      <c r="AI561" s="40"/>
      <c r="AJ561" s="40"/>
      <c r="AK561" s="40"/>
      <c r="AL561" s="40"/>
      <c r="AM561" s="40"/>
      <c r="AN561" s="40"/>
      <c r="AO561" s="40"/>
      <c r="AP561" s="40"/>
      <c r="AQ561" s="40"/>
      <c r="AR561" s="40"/>
      <c r="AS561" s="40"/>
      <c r="AT561" s="40"/>
      <c r="AU561" s="40"/>
      <c r="AV561" s="40"/>
      <c r="AW561" s="40"/>
      <c r="AX561" s="40"/>
      <c r="AY561" s="40"/>
      <c r="AZ561" s="40"/>
    </row>
    <row r="562" spans="21:52" x14ac:dyDescent="0.2">
      <c r="U562" s="40"/>
      <c r="V562" s="40"/>
      <c r="W562" s="40"/>
      <c r="X562" s="40"/>
      <c r="Y562" s="40"/>
      <c r="Z562" s="40"/>
      <c r="AA562" s="40"/>
      <c r="AB562" s="40"/>
      <c r="AC562" s="40"/>
      <c r="AD562" s="40"/>
      <c r="AE562" s="40"/>
      <c r="AF562" s="40"/>
      <c r="AG562" s="40"/>
      <c r="AH562" s="40"/>
      <c r="AI562" s="40"/>
      <c r="AJ562" s="40"/>
      <c r="AK562" s="40"/>
      <c r="AL562" s="40"/>
      <c r="AM562" s="40"/>
      <c r="AN562" s="40"/>
      <c r="AO562" s="40"/>
      <c r="AP562" s="40"/>
      <c r="AQ562" s="40"/>
      <c r="AR562" s="40"/>
      <c r="AS562" s="40"/>
      <c r="AT562" s="40"/>
      <c r="AU562" s="40"/>
      <c r="AV562" s="40"/>
      <c r="AW562" s="40"/>
      <c r="AX562" s="40"/>
      <c r="AY562" s="40"/>
      <c r="AZ562" s="40"/>
    </row>
    <row r="563" spans="21:52" x14ac:dyDescent="0.2">
      <c r="U563" s="40"/>
      <c r="V563" s="40"/>
      <c r="W563" s="40"/>
      <c r="X563" s="40"/>
      <c r="Y563" s="40"/>
      <c r="Z563" s="40"/>
      <c r="AA563" s="40"/>
      <c r="AB563" s="40"/>
      <c r="AC563" s="40"/>
      <c r="AD563" s="40"/>
      <c r="AE563" s="40"/>
      <c r="AF563" s="40"/>
      <c r="AG563" s="40"/>
      <c r="AH563" s="40"/>
      <c r="AI563" s="40"/>
      <c r="AJ563" s="40"/>
      <c r="AK563" s="40"/>
      <c r="AL563" s="40"/>
      <c r="AM563" s="40"/>
      <c r="AN563" s="40"/>
      <c r="AO563" s="40"/>
      <c r="AP563" s="40"/>
      <c r="AQ563" s="40"/>
      <c r="AR563" s="40"/>
      <c r="AS563" s="40"/>
      <c r="AT563" s="40"/>
      <c r="AU563" s="40"/>
      <c r="AV563" s="40"/>
      <c r="AW563" s="40"/>
      <c r="AX563" s="40"/>
      <c r="AY563" s="40"/>
      <c r="AZ563" s="40"/>
    </row>
    <row r="564" spans="21:52" x14ac:dyDescent="0.2">
      <c r="U564" s="40"/>
      <c r="V564" s="40"/>
      <c r="W564" s="40"/>
      <c r="X564" s="40"/>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row>
    <row r="565" spans="21:52" x14ac:dyDescent="0.2">
      <c r="U565" s="40"/>
      <c r="V565" s="40"/>
      <c r="W565" s="40"/>
      <c r="X565" s="40"/>
      <c r="Y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row>
    <row r="566" spans="21:52" x14ac:dyDescent="0.2">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row>
    <row r="567" spans="21:52" x14ac:dyDescent="0.2">
      <c r="U567" s="40"/>
      <c r="V567" s="40"/>
      <c r="W567" s="40"/>
      <c r="X567" s="40"/>
      <c r="Y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row>
    <row r="568" spans="21:52" x14ac:dyDescent="0.2">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row>
    <row r="569" spans="21:52" x14ac:dyDescent="0.2">
      <c r="U569" s="40"/>
      <c r="V569" s="40"/>
      <c r="W569" s="40"/>
      <c r="X569" s="40"/>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row>
    <row r="570" spans="21:52" x14ac:dyDescent="0.2">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row>
    <row r="571" spans="21:52" x14ac:dyDescent="0.2">
      <c r="U571" s="40"/>
      <c r="V571" s="40"/>
      <c r="W571" s="40"/>
      <c r="X571" s="40"/>
      <c r="Y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row>
    <row r="572" spans="21:52" x14ac:dyDescent="0.2">
      <c r="U572" s="40"/>
      <c r="V572" s="40"/>
      <c r="W572" s="40"/>
      <c r="X572" s="40"/>
      <c r="Y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row>
    <row r="573" spans="21:52" x14ac:dyDescent="0.2">
      <c r="U573" s="40"/>
      <c r="V573" s="40"/>
      <c r="W573" s="40"/>
      <c r="X573" s="40"/>
      <c r="Y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row>
    <row r="574" spans="21:52" x14ac:dyDescent="0.2">
      <c r="U574" s="40"/>
      <c r="V574" s="40"/>
      <c r="W574" s="40"/>
      <c r="X574" s="40"/>
      <c r="Y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row>
    <row r="575" spans="21:52" x14ac:dyDescent="0.2">
      <c r="U575" s="40"/>
      <c r="V575" s="40"/>
      <c r="W575" s="40"/>
      <c r="X575" s="40"/>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row>
    <row r="576" spans="21:52" x14ac:dyDescent="0.2">
      <c r="U576" s="40"/>
      <c r="V576" s="40"/>
      <c r="W576" s="40"/>
      <c r="X576" s="40"/>
      <c r="Y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row>
    <row r="577" spans="21:52" x14ac:dyDescent="0.2">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row>
    <row r="578" spans="21:52" x14ac:dyDescent="0.2">
      <c r="U578" s="40"/>
      <c r="V578" s="40"/>
      <c r="W578" s="40"/>
      <c r="X578" s="40"/>
      <c r="Y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row>
    <row r="579" spans="21:52" x14ac:dyDescent="0.2">
      <c r="U579" s="40"/>
      <c r="V579" s="40"/>
      <c r="W579" s="40"/>
      <c r="X579" s="40"/>
      <c r="Y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row>
    <row r="580" spans="21:52" x14ac:dyDescent="0.2">
      <c r="U580" s="40"/>
      <c r="V580" s="40"/>
      <c r="W580" s="40"/>
      <c r="X580" s="40"/>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row>
    <row r="581" spans="21:52" x14ac:dyDescent="0.2">
      <c r="U581" s="40"/>
      <c r="V581" s="40"/>
      <c r="W581" s="40"/>
      <c r="X581" s="40"/>
      <c r="Y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row>
    <row r="582" spans="21:52" x14ac:dyDescent="0.2">
      <c r="U582" s="40"/>
      <c r="V582" s="40"/>
      <c r="W582" s="40"/>
      <c r="X582" s="40"/>
      <c r="Y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row>
    <row r="583" spans="21:52" x14ac:dyDescent="0.2">
      <c r="U583" s="40"/>
      <c r="V583" s="40"/>
      <c r="W583" s="40"/>
      <c r="X583" s="40"/>
      <c r="Y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row>
    <row r="584" spans="21:52" x14ac:dyDescent="0.2">
      <c r="U584" s="40"/>
      <c r="V584" s="40"/>
      <c r="W584" s="40"/>
      <c r="X584" s="40"/>
      <c r="Y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row>
    <row r="585" spans="21:52" x14ac:dyDescent="0.2">
      <c r="U585" s="40"/>
      <c r="V585" s="40"/>
      <c r="W585" s="40"/>
      <c r="X585" s="40"/>
      <c r="Y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row>
    <row r="586" spans="21:52" x14ac:dyDescent="0.2">
      <c r="U586" s="40"/>
      <c r="V586" s="40"/>
      <c r="W586" s="40"/>
      <c r="X586" s="40"/>
      <c r="Y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row>
    <row r="587" spans="21:52" x14ac:dyDescent="0.2">
      <c r="U587" s="40"/>
      <c r="V587" s="40"/>
      <c r="W587" s="40"/>
      <c r="X587" s="40"/>
      <c r="Y587" s="40"/>
      <c r="Z587" s="40"/>
      <c r="AA587" s="40"/>
      <c r="AB587" s="40"/>
      <c r="AC587" s="40"/>
      <c r="AD587" s="40"/>
      <c r="AE587" s="40"/>
      <c r="AF587" s="40"/>
      <c r="AG587" s="40"/>
      <c r="AH587" s="40"/>
      <c r="AI587" s="40"/>
      <c r="AJ587" s="40"/>
      <c r="AK587" s="40"/>
      <c r="AL587" s="40"/>
      <c r="AM587" s="40"/>
      <c r="AN587" s="40"/>
      <c r="AO587" s="40"/>
      <c r="AP587" s="40"/>
      <c r="AQ587" s="40"/>
      <c r="AR587" s="40"/>
      <c r="AS587" s="40"/>
      <c r="AT587" s="40"/>
      <c r="AU587" s="40"/>
      <c r="AV587" s="40"/>
      <c r="AW587" s="40"/>
      <c r="AX587" s="40"/>
      <c r="AY587" s="40"/>
      <c r="AZ587" s="40"/>
    </row>
    <row r="588" spans="21:52" x14ac:dyDescent="0.2">
      <c r="U588" s="40"/>
      <c r="V588" s="40"/>
      <c r="W588" s="40"/>
      <c r="X588" s="40"/>
      <c r="Y588" s="40"/>
      <c r="Z588" s="40"/>
      <c r="AA588" s="40"/>
      <c r="AB588" s="40"/>
      <c r="AC588" s="40"/>
      <c r="AD588" s="40"/>
      <c r="AE588" s="40"/>
      <c r="AF588" s="40"/>
      <c r="AG588" s="40"/>
      <c r="AH588" s="40"/>
      <c r="AI588" s="40"/>
      <c r="AJ588" s="40"/>
      <c r="AK588" s="40"/>
      <c r="AL588" s="40"/>
      <c r="AM588" s="40"/>
      <c r="AN588" s="40"/>
      <c r="AO588" s="40"/>
      <c r="AP588" s="40"/>
      <c r="AQ588" s="40"/>
      <c r="AR588" s="40"/>
      <c r="AS588" s="40"/>
      <c r="AT588" s="40"/>
      <c r="AU588" s="40"/>
      <c r="AV588" s="40"/>
      <c r="AW588" s="40"/>
      <c r="AX588" s="40"/>
      <c r="AY588" s="40"/>
      <c r="AZ588" s="40"/>
    </row>
    <row r="589" spans="21:52" x14ac:dyDescent="0.2">
      <c r="U589" s="40"/>
      <c r="V589" s="40"/>
      <c r="W589" s="40"/>
      <c r="X589" s="40"/>
      <c r="Y589" s="40"/>
      <c r="Z589" s="40"/>
      <c r="AA589" s="40"/>
      <c r="AB589" s="40"/>
      <c r="AC589" s="40"/>
      <c r="AD589" s="40"/>
      <c r="AE589" s="40"/>
      <c r="AF589" s="40"/>
      <c r="AG589" s="40"/>
      <c r="AH589" s="40"/>
      <c r="AI589" s="40"/>
      <c r="AJ589" s="40"/>
      <c r="AK589" s="40"/>
      <c r="AL589" s="40"/>
      <c r="AM589" s="40"/>
      <c r="AN589" s="40"/>
      <c r="AO589" s="40"/>
      <c r="AP589" s="40"/>
      <c r="AQ589" s="40"/>
      <c r="AR589" s="40"/>
      <c r="AS589" s="40"/>
      <c r="AT589" s="40"/>
      <c r="AU589" s="40"/>
      <c r="AV589" s="40"/>
      <c r="AW589" s="40"/>
      <c r="AX589" s="40"/>
      <c r="AY589" s="40"/>
      <c r="AZ589" s="40"/>
    </row>
    <row r="590" spans="21:52" x14ac:dyDescent="0.2">
      <c r="U590" s="40"/>
      <c r="V590" s="40"/>
      <c r="W590" s="40"/>
      <c r="X590" s="40"/>
      <c r="Y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row>
    <row r="591" spans="21:52" x14ac:dyDescent="0.2">
      <c r="U591" s="40"/>
      <c r="V591" s="40"/>
      <c r="W591" s="40"/>
      <c r="X591" s="40"/>
      <c r="Y591" s="40"/>
      <c r="Z591" s="40"/>
      <c r="AA591" s="40"/>
      <c r="AB591" s="40"/>
      <c r="AC591" s="40"/>
      <c r="AD591" s="40"/>
      <c r="AE591" s="40"/>
      <c r="AF591" s="40"/>
      <c r="AG591" s="40"/>
      <c r="AH591" s="40"/>
      <c r="AI591" s="40"/>
      <c r="AJ591" s="40"/>
      <c r="AK591" s="40"/>
      <c r="AL591" s="40"/>
      <c r="AM591" s="40"/>
      <c r="AN591" s="40"/>
      <c r="AO591" s="40"/>
      <c r="AP591" s="40"/>
      <c r="AQ591" s="40"/>
      <c r="AR591" s="40"/>
      <c r="AS591" s="40"/>
      <c r="AT591" s="40"/>
      <c r="AU591" s="40"/>
      <c r="AV591" s="40"/>
      <c r="AW591" s="40"/>
      <c r="AX591" s="40"/>
      <c r="AY591" s="40"/>
      <c r="AZ591" s="40"/>
    </row>
    <row r="592" spans="21:52" x14ac:dyDescent="0.2">
      <c r="U592" s="40"/>
      <c r="V592" s="40"/>
      <c r="W592" s="40"/>
      <c r="X592" s="40"/>
      <c r="Y592" s="40"/>
      <c r="Z592" s="40"/>
      <c r="AA592" s="40"/>
      <c r="AB592" s="40"/>
      <c r="AC592" s="40"/>
      <c r="AD592" s="40"/>
      <c r="AE592" s="40"/>
      <c r="AF592" s="40"/>
      <c r="AG592" s="40"/>
      <c r="AH592" s="40"/>
      <c r="AI592" s="40"/>
      <c r="AJ592" s="40"/>
      <c r="AK592" s="40"/>
      <c r="AL592" s="40"/>
      <c r="AM592" s="40"/>
      <c r="AN592" s="40"/>
      <c r="AO592" s="40"/>
      <c r="AP592" s="40"/>
      <c r="AQ592" s="40"/>
      <c r="AR592" s="40"/>
      <c r="AS592" s="40"/>
      <c r="AT592" s="40"/>
      <c r="AU592" s="40"/>
      <c r="AV592" s="40"/>
      <c r="AW592" s="40"/>
      <c r="AX592" s="40"/>
      <c r="AY592" s="40"/>
      <c r="AZ592" s="40"/>
    </row>
    <row r="593" spans="21:52" x14ac:dyDescent="0.2">
      <c r="U593" s="40"/>
      <c r="V593" s="40"/>
      <c r="W593" s="40"/>
      <c r="X593" s="40"/>
      <c r="Y593" s="40"/>
      <c r="Z593" s="40"/>
      <c r="AA593" s="40"/>
      <c r="AB593" s="40"/>
      <c r="AC593" s="40"/>
      <c r="AD593" s="40"/>
      <c r="AE593" s="40"/>
      <c r="AF593" s="40"/>
      <c r="AG593" s="40"/>
      <c r="AH593" s="40"/>
      <c r="AI593" s="40"/>
      <c r="AJ593" s="40"/>
      <c r="AK593" s="40"/>
      <c r="AL593" s="40"/>
      <c r="AM593" s="40"/>
      <c r="AN593" s="40"/>
      <c r="AO593" s="40"/>
      <c r="AP593" s="40"/>
      <c r="AQ593" s="40"/>
      <c r="AR593" s="40"/>
      <c r="AS593" s="40"/>
      <c r="AT593" s="40"/>
      <c r="AU593" s="40"/>
      <c r="AV593" s="40"/>
      <c r="AW593" s="40"/>
      <c r="AX593" s="40"/>
      <c r="AY593" s="40"/>
      <c r="AZ593" s="40"/>
    </row>
    <row r="594" spans="21:52" x14ac:dyDescent="0.2">
      <c r="U594" s="40"/>
      <c r="V594" s="40"/>
      <c r="W594" s="40"/>
      <c r="X594" s="40"/>
      <c r="Y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row>
    <row r="595" spans="21:52" x14ac:dyDescent="0.2">
      <c r="U595" s="40"/>
      <c r="V595" s="40"/>
      <c r="W595" s="40"/>
      <c r="X595" s="40"/>
      <c r="Y595" s="40"/>
      <c r="Z595" s="40"/>
      <c r="AA595" s="40"/>
      <c r="AB595" s="40"/>
      <c r="AC595" s="40"/>
      <c r="AD595" s="40"/>
      <c r="AE595" s="40"/>
      <c r="AF595" s="40"/>
      <c r="AG595" s="40"/>
      <c r="AH595" s="40"/>
      <c r="AI595" s="40"/>
      <c r="AJ595" s="40"/>
      <c r="AK595" s="40"/>
      <c r="AL595" s="40"/>
      <c r="AM595" s="40"/>
      <c r="AN595" s="40"/>
      <c r="AO595" s="40"/>
      <c r="AP595" s="40"/>
      <c r="AQ595" s="40"/>
      <c r="AR595" s="40"/>
      <c r="AS595" s="40"/>
      <c r="AT595" s="40"/>
      <c r="AU595" s="40"/>
      <c r="AV595" s="40"/>
      <c r="AW595" s="40"/>
      <c r="AX595" s="40"/>
      <c r="AY595" s="40"/>
      <c r="AZ595" s="40"/>
    </row>
    <row r="596" spans="21:52" x14ac:dyDescent="0.2">
      <c r="U596" s="40"/>
      <c r="V596" s="40"/>
      <c r="W596" s="40"/>
      <c r="X596" s="40"/>
      <c r="Y596" s="40"/>
      <c r="Z596" s="40"/>
      <c r="AA596" s="40"/>
      <c r="AB596" s="40"/>
      <c r="AC596" s="40"/>
      <c r="AD596" s="40"/>
      <c r="AE596" s="40"/>
      <c r="AF596" s="40"/>
      <c r="AG596" s="40"/>
      <c r="AH596" s="40"/>
      <c r="AI596" s="40"/>
      <c r="AJ596" s="40"/>
      <c r="AK596" s="40"/>
      <c r="AL596" s="40"/>
      <c r="AM596" s="40"/>
      <c r="AN596" s="40"/>
      <c r="AO596" s="40"/>
      <c r="AP596" s="40"/>
      <c r="AQ596" s="40"/>
      <c r="AR596" s="40"/>
      <c r="AS596" s="40"/>
      <c r="AT596" s="40"/>
      <c r="AU596" s="40"/>
      <c r="AV596" s="40"/>
      <c r="AW596" s="40"/>
      <c r="AX596" s="40"/>
      <c r="AY596" s="40"/>
      <c r="AZ596" s="40"/>
    </row>
    <row r="597" spans="21:52" x14ac:dyDescent="0.2">
      <c r="U597" s="40"/>
      <c r="V597" s="40"/>
      <c r="W597" s="40"/>
      <c r="X597" s="40"/>
      <c r="Y597" s="40"/>
      <c r="Z597" s="40"/>
      <c r="AA597" s="40"/>
      <c r="AB597" s="40"/>
      <c r="AC597" s="40"/>
      <c r="AD597" s="40"/>
      <c r="AE597" s="40"/>
      <c r="AF597" s="40"/>
      <c r="AG597" s="40"/>
      <c r="AH597" s="40"/>
      <c r="AI597" s="40"/>
      <c r="AJ597" s="40"/>
      <c r="AK597" s="40"/>
      <c r="AL597" s="40"/>
      <c r="AM597" s="40"/>
      <c r="AN597" s="40"/>
      <c r="AO597" s="40"/>
      <c r="AP597" s="40"/>
      <c r="AQ597" s="40"/>
      <c r="AR597" s="40"/>
      <c r="AS597" s="40"/>
      <c r="AT597" s="40"/>
      <c r="AU597" s="40"/>
      <c r="AV597" s="40"/>
      <c r="AW597" s="40"/>
      <c r="AX597" s="40"/>
      <c r="AY597" s="40"/>
      <c r="AZ597" s="40"/>
    </row>
    <row r="598" spans="21:52" x14ac:dyDescent="0.2">
      <c r="U598" s="40"/>
      <c r="V598" s="40"/>
      <c r="W598" s="40"/>
      <c r="X598" s="40"/>
      <c r="Y598" s="40"/>
      <c r="Z598" s="40"/>
      <c r="AA598" s="40"/>
      <c r="AB598" s="40"/>
      <c r="AC598" s="40"/>
      <c r="AD598" s="40"/>
      <c r="AE598" s="40"/>
      <c r="AF598" s="40"/>
      <c r="AG598" s="40"/>
      <c r="AH598" s="40"/>
      <c r="AI598" s="40"/>
      <c r="AJ598" s="40"/>
      <c r="AK598" s="40"/>
      <c r="AL598" s="40"/>
      <c r="AM598" s="40"/>
      <c r="AN598" s="40"/>
      <c r="AO598" s="40"/>
      <c r="AP598" s="40"/>
      <c r="AQ598" s="40"/>
      <c r="AR598" s="40"/>
      <c r="AS598" s="40"/>
      <c r="AT598" s="40"/>
      <c r="AU598" s="40"/>
      <c r="AV598" s="40"/>
      <c r="AW598" s="40"/>
      <c r="AX598" s="40"/>
      <c r="AY598" s="40"/>
      <c r="AZ598" s="40"/>
    </row>
    <row r="599" spans="21:52" x14ac:dyDescent="0.2">
      <c r="U599" s="40"/>
      <c r="V599" s="40"/>
      <c r="W599" s="40"/>
      <c r="X599" s="40"/>
      <c r="Y599" s="40"/>
      <c r="Z599" s="40"/>
      <c r="AA599" s="40"/>
      <c r="AB599" s="40"/>
      <c r="AC599" s="40"/>
      <c r="AD599" s="40"/>
      <c r="AE599" s="40"/>
      <c r="AF599" s="40"/>
      <c r="AG599" s="40"/>
      <c r="AH599" s="40"/>
      <c r="AI599" s="40"/>
      <c r="AJ599" s="40"/>
      <c r="AK599" s="40"/>
      <c r="AL599" s="40"/>
      <c r="AM599" s="40"/>
      <c r="AN599" s="40"/>
      <c r="AO599" s="40"/>
      <c r="AP599" s="40"/>
      <c r="AQ599" s="40"/>
      <c r="AR599" s="40"/>
      <c r="AS599" s="40"/>
      <c r="AT599" s="40"/>
      <c r="AU599" s="40"/>
      <c r="AV599" s="40"/>
      <c r="AW599" s="40"/>
      <c r="AX599" s="40"/>
      <c r="AY599" s="40"/>
      <c r="AZ599" s="40"/>
    </row>
    <row r="600" spans="21:52" x14ac:dyDescent="0.2">
      <c r="U600" s="40"/>
      <c r="V600" s="40"/>
      <c r="W600" s="40"/>
      <c r="X600" s="40"/>
      <c r="Y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row>
    <row r="601" spans="21:52" x14ac:dyDescent="0.2">
      <c r="U601" s="40"/>
      <c r="V601" s="40"/>
      <c r="W601" s="40"/>
      <c r="X601" s="40"/>
      <c r="Y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row>
    <row r="602" spans="21:52" x14ac:dyDescent="0.2">
      <c r="U602" s="40"/>
      <c r="V602" s="40"/>
      <c r="W602" s="40"/>
      <c r="X602" s="40"/>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row>
    <row r="603" spans="21:52" x14ac:dyDescent="0.2">
      <c r="U603" s="40"/>
      <c r="V603" s="40"/>
      <c r="W603" s="40"/>
      <c r="X603" s="40"/>
      <c r="Y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row>
    <row r="604" spans="21:52" x14ac:dyDescent="0.2">
      <c r="U604" s="40"/>
      <c r="V604" s="40"/>
      <c r="W604" s="40"/>
      <c r="X604" s="40"/>
      <c r="Y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row>
    <row r="605" spans="21:52" x14ac:dyDescent="0.2">
      <c r="U605" s="40"/>
      <c r="V605" s="40"/>
      <c r="W605" s="40"/>
      <c r="X605" s="40"/>
      <c r="Y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row>
    <row r="606" spans="21:52" x14ac:dyDescent="0.2">
      <c r="U606" s="40"/>
      <c r="V606" s="40"/>
      <c r="W606" s="40"/>
      <c r="X606" s="40"/>
      <c r="Y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row>
    <row r="607" spans="21:52" x14ac:dyDescent="0.2">
      <c r="U607" s="40"/>
      <c r="V607" s="40"/>
      <c r="W607" s="40"/>
      <c r="X607" s="40"/>
      <c r="Y607" s="40"/>
      <c r="Z607" s="40"/>
      <c r="AA607" s="40"/>
      <c r="AB607" s="40"/>
      <c r="AC607" s="40"/>
      <c r="AD607" s="40"/>
      <c r="AE607" s="40"/>
      <c r="AF607" s="40"/>
      <c r="AG607" s="40"/>
      <c r="AH607" s="40"/>
      <c r="AI607" s="40"/>
      <c r="AJ607" s="40"/>
      <c r="AK607" s="40"/>
      <c r="AL607" s="40"/>
      <c r="AM607" s="40"/>
      <c r="AN607" s="40"/>
      <c r="AO607" s="40"/>
      <c r="AP607" s="40"/>
      <c r="AQ607" s="40"/>
      <c r="AR607" s="40"/>
      <c r="AS607" s="40"/>
      <c r="AT607" s="40"/>
      <c r="AU607" s="40"/>
      <c r="AV607" s="40"/>
      <c r="AW607" s="40"/>
      <c r="AX607" s="40"/>
      <c r="AY607" s="40"/>
      <c r="AZ607" s="40"/>
    </row>
    <row r="608" spans="21:52" x14ac:dyDescent="0.2">
      <c r="U608" s="40"/>
      <c r="V608" s="40"/>
      <c r="W608" s="40"/>
      <c r="X608" s="40"/>
      <c r="Y608" s="40"/>
      <c r="Z608" s="40"/>
      <c r="AA608" s="40"/>
      <c r="AB608" s="40"/>
      <c r="AC608" s="40"/>
      <c r="AD608" s="40"/>
      <c r="AE608" s="40"/>
      <c r="AF608" s="40"/>
      <c r="AG608" s="40"/>
      <c r="AH608" s="40"/>
      <c r="AI608" s="40"/>
      <c r="AJ608" s="40"/>
      <c r="AK608" s="40"/>
      <c r="AL608" s="40"/>
      <c r="AM608" s="40"/>
      <c r="AN608" s="40"/>
      <c r="AO608" s="40"/>
      <c r="AP608" s="40"/>
      <c r="AQ608" s="40"/>
      <c r="AR608" s="40"/>
      <c r="AS608" s="40"/>
      <c r="AT608" s="40"/>
      <c r="AU608" s="40"/>
      <c r="AV608" s="40"/>
      <c r="AW608" s="40"/>
      <c r="AX608" s="40"/>
      <c r="AY608" s="40"/>
      <c r="AZ608" s="40"/>
    </row>
    <row r="609" spans="21:52" x14ac:dyDescent="0.2">
      <c r="U609" s="40"/>
      <c r="V609" s="40"/>
      <c r="W609" s="40"/>
      <c r="X609" s="40"/>
      <c r="Y609" s="40"/>
      <c r="Z609" s="40"/>
      <c r="AA609" s="40"/>
      <c r="AB609" s="40"/>
      <c r="AC609" s="40"/>
      <c r="AD609" s="40"/>
      <c r="AE609" s="40"/>
      <c r="AF609" s="40"/>
      <c r="AG609" s="40"/>
      <c r="AH609" s="40"/>
      <c r="AI609" s="40"/>
      <c r="AJ609" s="40"/>
      <c r="AK609" s="40"/>
      <c r="AL609" s="40"/>
      <c r="AM609" s="40"/>
      <c r="AN609" s="40"/>
      <c r="AO609" s="40"/>
      <c r="AP609" s="40"/>
      <c r="AQ609" s="40"/>
      <c r="AR609" s="40"/>
      <c r="AS609" s="40"/>
      <c r="AT609" s="40"/>
      <c r="AU609" s="40"/>
      <c r="AV609" s="40"/>
      <c r="AW609" s="40"/>
      <c r="AX609" s="40"/>
      <c r="AY609" s="40"/>
      <c r="AZ609" s="40"/>
    </row>
    <row r="610" spans="21:52" x14ac:dyDescent="0.2">
      <c r="U610" s="40"/>
      <c r="V610" s="40"/>
      <c r="W610" s="40"/>
      <c r="X610" s="40"/>
      <c r="Y610" s="40"/>
      <c r="Z610" s="40"/>
      <c r="AA610" s="40"/>
      <c r="AB610" s="40"/>
      <c r="AC610" s="40"/>
      <c r="AD610" s="40"/>
      <c r="AE610" s="40"/>
      <c r="AF610" s="40"/>
      <c r="AG610" s="40"/>
      <c r="AH610" s="40"/>
      <c r="AI610" s="40"/>
      <c r="AJ610" s="40"/>
      <c r="AK610" s="40"/>
      <c r="AL610" s="40"/>
      <c r="AM610" s="40"/>
      <c r="AN610" s="40"/>
      <c r="AO610" s="40"/>
      <c r="AP610" s="40"/>
      <c r="AQ610" s="40"/>
      <c r="AR610" s="40"/>
      <c r="AS610" s="40"/>
      <c r="AT610" s="40"/>
      <c r="AU610" s="40"/>
      <c r="AV610" s="40"/>
      <c r="AW610" s="40"/>
      <c r="AX610" s="40"/>
      <c r="AY610" s="40"/>
      <c r="AZ610" s="40"/>
    </row>
    <row r="611" spans="21:52" x14ac:dyDescent="0.2">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row>
    <row r="612" spans="21:52" x14ac:dyDescent="0.2">
      <c r="U612" s="40"/>
      <c r="V612" s="40"/>
      <c r="W612" s="40"/>
      <c r="X612" s="40"/>
      <c r="Y612" s="40"/>
      <c r="Z612" s="40"/>
      <c r="AA612" s="40"/>
      <c r="AB612" s="40"/>
      <c r="AC612" s="40"/>
      <c r="AD612" s="40"/>
      <c r="AE612" s="40"/>
      <c r="AF612" s="40"/>
      <c r="AG612" s="40"/>
      <c r="AH612" s="40"/>
      <c r="AI612" s="40"/>
      <c r="AJ612" s="40"/>
      <c r="AK612" s="40"/>
      <c r="AL612" s="40"/>
      <c r="AM612" s="40"/>
      <c r="AN612" s="40"/>
      <c r="AO612" s="40"/>
      <c r="AP612" s="40"/>
      <c r="AQ612" s="40"/>
      <c r="AR612" s="40"/>
      <c r="AS612" s="40"/>
      <c r="AT612" s="40"/>
      <c r="AU612" s="40"/>
      <c r="AV612" s="40"/>
      <c r="AW612" s="40"/>
      <c r="AX612" s="40"/>
      <c r="AY612" s="40"/>
      <c r="AZ612" s="40"/>
    </row>
    <row r="613" spans="21:52" x14ac:dyDescent="0.2">
      <c r="U613" s="40"/>
      <c r="V613" s="40"/>
      <c r="W613" s="40"/>
      <c r="X613" s="40"/>
      <c r="Y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row>
    <row r="614" spans="21:52" x14ac:dyDescent="0.2">
      <c r="U614" s="40"/>
      <c r="V614" s="40"/>
      <c r="W614" s="40"/>
      <c r="X614" s="40"/>
      <c r="Y614" s="40"/>
      <c r="Z614" s="40"/>
      <c r="AA614" s="40"/>
      <c r="AB614" s="40"/>
      <c r="AC614" s="40"/>
      <c r="AD614" s="40"/>
      <c r="AE614" s="40"/>
      <c r="AF614" s="40"/>
      <c r="AG614" s="40"/>
      <c r="AH614" s="40"/>
      <c r="AI614" s="40"/>
      <c r="AJ614" s="40"/>
      <c r="AK614" s="40"/>
      <c r="AL614" s="40"/>
      <c r="AM614" s="40"/>
      <c r="AN614" s="40"/>
      <c r="AO614" s="40"/>
      <c r="AP614" s="40"/>
      <c r="AQ614" s="40"/>
      <c r="AR614" s="40"/>
      <c r="AS614" s="40"/>
      <c r="AT614" s="40"/>
      <c r="AU614" s="40"/>
      <c r="AV614" s="40"/>
      <c r="AW614" s="40"/>
      <c r="AX614" s="40"/>
      <c r="AY614" s="40"/>
      <c r="AZ614" s="40"/>
    </row>
    <row r="615" spans="21:52" x14ac:dyDescent="0.2">
      <c r="U615" s="40"/>
      <c r="V615" s="40"/>
      <c r="W615" s="40"/>
      <c r="X615" s="40"/>
      <c r="Y615" s="40"/>
      <c r="Z615" s="40"/>
      <c r="AA615" s="40"/>
      <c r="AB615" s="40"/>
      <c r="AC615" s="40"/>
      <c r="AD615" s="40"/>
      <c r="AE615" s="40"/>
      <c r="AF615" s="40"/>
      <c r="AG615" s="40"/>
      <c r="AH615" s="40"/>
      <c r="AI615" s="40"/>
      <c r="AJ615" s="40"/>
      <c r="AK615" s="40"/>
      <c r="AL615" s="40"/>
      <c r="AM615" s="40"/>
      <c r="AN615" s="40"/>
      <c r="AO615" s="40"/>
      <c r="AP615" s="40"/>
      <c r="AQ615" s="40"/>
      <c r="AR615" s="40"/>
      <c r="AS615" s="40"/>
      <c r="AT615" s="40"/>
      <c r="AU615" s="40"/>
      <c r="AV615" s="40"/>
      <c r="AW615" s="40"/>
      <c r="AX615" s="40"/>
      <c r="AY615" s="40"/>
      <c r="AZ615" s="40"/>
    </row>
    <row r="616" spans="21:52" x14ac:dyDescent="0.2">
      <c r="U616" s="40"/>
      <c r="V616" s="40"/>
      <c r="W616" s="40"/>
      <c r="X616" s="40"/>
      <c r="Y616" s="40"/>
      <c r="Z616" s="40"/>
      <c r="AA616" s="40"/>
      <c r="AB616" s="40"/>
      <c r="AC616" s="40"/>
      <c r="AD616" s="40"/>
      <c r="AE616" s="40"/>
      <c r="AF616" s="40"/>
      <c r="AG616" s="40"/>
      <c r="AH616" s="40"/>
      <c r="AI616" s="40"/>
      <c r="AJ616" s="40"/>
      <c r="AK616" s="40"/>
      <c r="AL616" s="40"/>
      <c r="AM616" s="40"/>
      <c r="AN616" s="40"/>
      <c r="AO616" s="40"/>
      <c r="AP616" s="40"/>
      <c r="AQ616" s="40"/>
      <c r="AR616" s="40"/>
      <c r="AS616" s="40"/>
      <c r="AT616" s="40"/>
      <c r="AU616" s="40"/>
      <c r="AV616" s="40"/>
      <c r="AW616" s="40"/>
      <c r="AX616" s="40"/>
      <c r="AY616" s="40"/>
      <c r="AZ616" s="40"/>
    </row>
    <row r="617" spans="21:52" x14ac:dyDescent="0.2">
      <c r="U617" s="40"/>
      <c r="V617" s="40"/>
      <c r="W617" s="40"/>
      <c r="X617" s="40"/>
      <c r="Y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row>
    <row r="618" spans="21:52" x14ac:dyDescent="0.2">
      <c r="U618" s="40"/>
      <c r="V618" s="40"/>
      <c r="W618" s="40"/>
      <c r="X618" s="40"/>
      <c r="Y618" s="40"/>
      <c r="Z618" s="40"/>
      <c r="AA618" s="40"/>
      <c r="AB618" s="40"/>
      <c r="AC618" s="40"/>
      <c r="AD618" s="40"/>
      <c r="AE618" s="40"/>
      <c r="AF618" s="40"/>
      <c r="AG618" s="40"/>
      <c r="AH618" s="40"/>
      <c r="AI618" s="40"/>
      <c r="AJ618" s="40"/>
      <c r="AK618" s="40"/>
      <c r="AL618" s="40"/>
      <c r="AM618" s="40"/>
      <c r="AN618" s="40"/>
      <c r="AO618" s="40"/>
      <c r="AP618" s="40"/>
      <c r="AQ618" s="40"/>
      <c r="AR618" s="40"/>
      <c r="AS618" s="40"/>
      <c r="AT618" s="40"/>
      <c r="AU618" s="40"/>
      <c r="AV618" s="40"/>
      <c r="AW618" s="40"/>
      <c r="AX618" s="40"/>
      <c r="AY618" s="40"/>
      <c r="AZ618" s="40"/>
    </row>
    <row r="619" spans="21:52" x14ac:dyDescent="0.2">
      <c r="U619" s="40"/>
      <c r="V619" s="40"/>
      <c r="W619" s="40"/>
      <c r="X619" s="40"/>
      <c r="Y619" s="40"/>
      <c r="Z619" s="40"/>
      <c r="AA619" s="40"/>
      <c r="AB619" s="40"/>
      <c r="AC619" s="40"/>
      <c r="AD619" s="40"/>
      <c r="AE619" s="40"/>
      <c r="AF619" s="40"/>
      <c r="AG619" s="40"/>
      <c r="AH619" s="40"/>
      <c r="AI619" s="40"/>
      <c r="AJ619" s="40"/>
      <c r="AK619" s="40"/>
      <c r="AL619" s="40"/>
      <c r="AM619" s="40"/>
      <c r="AN619" s="40"/>
      <c r="AO619" s="40"/>
      <c r="AP619" s="40"/>
      <c r="AQ619" s="40"/>
      <c r="AR619" s="40"/>
      <c r="AS619" s="40"/>
      <c r="AT619" s="40"/>
      <c r="AU619" s="40"/>
      <c r="AV619" s="40"/>
      <c r="AW619" s="40"/>
      <c r="AX619" s="40"/>
      <c r="AY619" s="40"/>
      <c r="AZ619" s="40"/>
    </row>
    <row r="620" spans="21:52" x14ac:dyDescent="0.2">
      <c r="U620" s="40"/>
      <c r="V620" s="40"/>
      <c r="W620" s="40"/>
      <c r="X620" s="40"/>
      <c r="Y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row>
    <row r="621" spans="21:52" x14ac:dyDescent="0.2">
      <c r="U621" s="40"/>
      <c r="V621" s="40"/>
      <c r="W621" s="40"/>
      <c r="X621" s="40"/>
      <c r="Y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row>
  </sheetData>
  <protectedRanges>
    <protectedRange sqref="D35:D46" name="Range1"/>
    <protectedRange sqref="D67:D69" name="Range1_1"/>
    <protectedRange sqref="D70:D71 D76:D77" name="Range1_2"/>
    <protectedRange sqref="D59:D63" name="Range1_3"/>
  </protectedRanges>
  <mergeCells count="8">
    <mergeCell ref="L3:O3"/>
    <mergeCell ref="L7:M7"/>
    <mergeCell ref="L9:O9"/>
    <mergeCell ref="D21:F21"/>
    <mergeCell ref="D5:H5"/>
    <mergeCell ref="D7:H7"/>
    <mergeCell ref="J13:K13"/>
    <mergeCell ref="L5:M5"/>
  </mergeCells>
  <phoneticPr fontId="101" type="noConversion"/>
  <dataValidations count="5">
    <dataValidation type="list" allowBlank="1" showInputMessage="1" showErrorMessage="1" sqref="D26" xr:uid="{D2E47E8B-E63D-4C0E-80A9-54C191FCD5F1}">
      <formula1>"TOPF,DRE,STW2"</formula1>
    </dataValidation>
    <dataValidation type="list" allowBlank="1" showInputMessage="1" showErrorMessage="1" sqref="D3" xr:uid="{726FA9EF-02EA-420D-9446-092EC6750DFE}">
      <formula1>"Mr,Miss,Mrs,Ms,Dr,Sir,Rev,Lord,Prof,Mx"</formula1>
    </dataValidation>
    <dataValidation type="list" allowBlank="1" showInputMessage="1" showErrorMessage="1" sqref="L5" xr:uid="{AFE29CF4-DEC8-45B7-B8EF-D774F953D616}">
      <formula1>"He/Him/His,She/Her/Hers,They/Them/Theirs"</formula1>
    </dataValidation>
    <dataValidation type="list" allowBlank="1" showInputMessage="1" showErrorMessage="1" sqref="L7:M7" xr:uid="{B91F8D70-4252-4963-8AED-593BB797ED7E}">
      <formula1>"right-handed,left-handed,ambidextrous"</formula1>
    </dataValidation>
    <dataValidation type="list" allowBlank="1" showInputMessage="1" showErrorMessage="1" sqref="L9" xr:uid="{ABFD7F19-830B-4D37-9CFC-A23C5F5FC46C}">
      <formula1>"non-driver,driver,who has given up driving"</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CD4CB53B-47AE-40C8-A5A6-C267F978573F}">
          <x14:formula1>
            <xm:f>'Do Not Edit'!$M$25:$M$29</xm:f>
          </x14:formula1>
          <xm:sqref>D21</xm:sqref>
        </x14:dataValidation>
        <x14:dataValidation type="list" allowBlank="1" showInputMessage="1" showErrorMessage="1" xr:uid="{35BA4AD3-296D-4C78-94A4-AD71DCA83B56}">
          <x14:formula1>
            <xm:f>'Do Not Edit'!$Q$140:$Q$141</xm:f>
          </x14:formula1>
          <xm:sqref>D23</xm:sqref>
        </x14:dataValidation>
        <x14:dataValidation type="list" allowBlank="1" showInputMessage="1" showErrorMessage="1" xr:uid="{75796EE6-66FE-460A-91EC-FA3D3B04F570}">
          <x14:formula1>
            <xm:f>'Do Not Edit'!$A$20:$A$21</xm:f>
          </x14:formula1>
          <xm:sqref>D17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91986-8E87-4DE6-8B0A-562350FA767A}">
  <sheetPr>
    <tabColor theme="4" tint="0.39997558519241921"/>
  </sheetPr>
  <dimension ref="A1:N65"/>
  <sheetViews>
    <sheetView showGridLines="0" zoomScale="85" zoomScaleNormal="85" workbookViewId="0">
      <selection activeCell="C23" sqref="C23"/>
    </sheetView>
  </sheetViews>
  <sheetFormatPr baseColWidth="10" defaultColWidth="8.83203125" defaultRowHeight="14" x14ac:dyDescent="0.15"/>
  <cols>
    <col min="1" max="1" width="31" style="14" customWidth="1"/>
    <col min="2" max="2" width="9.83203125" style="14" customWidth="1"/>
    <col min="3" max="3" width="112.83203125" style="14" customWidth="1"/>
    <col min="4" max="7" width="8.83203125" style="14"/>
    <col min="8" max="8" width="112.83203125" style="14" customWidth="1"/>
    <col min="9" max="16384" width="8.83203125" style="14"/>
  </cols>
  <sheetData>
    <row r="1" spans="1:14" ht="61.25" customHeight="1" x14ac:dyDescent="0.15">
      <c r="A1" s="661"/>
      <c r="B1" s="661"/>
      <c r="C1" s="661"/>
      <c r="D1" s="661"/>
      <c r="E1" s="661"/>
      <c r="F1" s="661"/>
      <c r="G1" s="661"/>
      <c r="H1" s="661"/>
      <c r="I1" s="661"/>
      <c r="J1" s="661"/>
      <c r="K1" s="661"/>
      <c r="L1" s="661"/>
      <c r="M1" s="661"/>
      <c r="N1" s="661"/>
    </row>
    <row r="2" spans="1:14" ht="51.5" customHeight="1" x14ac:dyDescent="0.15">
      <c r="A2" s="661"/>
      <c r="B2" s="728"/>
      <c r="C2" s="728"/>
      <c r="D2" s="728"/>
      <c r="E2" s="661"/>
      <c r="F2" s="661"/>
      <c r="G2" s="728"/>
      <c r="H2" s="728"/>
      <c r="I2" s="728"/>
      <c r="J2" s="661"/>
      <c r="K2" s="661"/>
      <c r="L2" s="661"/>
      <c r="M2" s="661"/>
      <c r="N2" s="661"/>
    </row>
    <row r="3" spans="1:14" ht="27" customHeight="1" x14ac:dyDescent="0.15">
      <c r="A3" s="662" t="s">
        <v>669</v>
      </c>
      <c r="B3" s="729"/>
      <c r="C3" s="649" t="s">
        <v>750</v>
      </c>
      <c r="D3" s="728"/>
      <c r="E3" s="661"/>
      <c r="F3" s="661"/>
      <c r="G3" s="728"/>
      <c r="H3" s="728"/>
      <c r="I3" s="728"/>
      <c r="J3" s="661"/>
      <c r="K3" s="661"/>
      <c r="L3" s="661"/>
      <c r="M3" s="661"/>
      <c r="N3" s="661"/>
    </row>
    <row r="4" spans="1:14" ht="73.75" customHeight="1" x14ac:dyDescent="0.15">
      <c r="A4" s="663" t="s">
        <v>688</v>
      </c>
      <c r="B4" s="730"/>
      <c r="C4" s="637" t="str">
        <f>"Using instruments to estimate premorbid functioning ("&amp;'Front Page &amp; Raw Test Scores'!D26&amp;"), it was calculated using demographic variables that "&amp;TOPF!E20&amp;"'s FSIQ was "&amp;ROUND(TOPF!E13,0)&amp;", with TOPF estimates of Immediate and Delayed Memory Indexes calculated to be "&amp;ROUND(TOPF!J13,0)&amp;" and "&amp;ROUND(TOPF!J14,0)&amp;" respectively. These measures were used as a baseline with which to compare other test performances, with z scores +/-1 being considered within the expected range."</f>
        <v>Using instruments to estimate premorbid functioning (TOPF), it was calculated using demographic variables that Mr Examples's FSIQ was 103, with TOPF estimates of Immediate and Delayed Memory Indexes calculated to be 105 and 105 respectively. These measures were used as a baseline with which to compare other test performances, with z scores +/-1 being considered within the expected range.</v>
      </c>
      <c r="D4" s="728"/>
      <c r="E4" s="661"/>
      <c r="F4" s="661"/>
      <c r="G4" s="728"/>
      <c r="H4" s="728"/>
      <c r="I4" s="728"/>
      <c r="J4" s="661"/>
      <c r="K4" s="661"/>
      <c r="L4" s="661"/>
      <c r="M4" s="661"/>
      <c r="N4" s="661"/>
    </row>
    <row r="5" spans="1:14" ht="71.5" customHeight="1" x14ac:dyDescent="0.15">
      <c r="A5" s="663" t="s">
        <v>210</v>
      </c>
      <c r="B5" s="730"/>
      <c r="C5" s="637" t="str">
        <f>TOPF!E20&amp;"'s overall performance on the RBANS is measured as a Total Scaled Score Index, this is the most reliable index in the battery, and most strongly correlating with FSIQ. The score was "&amp;'Standard Tests'!B28&amp;" "&amp;'Standard Tests'!O28&amp;", which compared to the pre-morbid estimate is "&amp;'Standard Tests'!N28&amp;" and relative to the UK population as a whole, is qualitatively in the '"&amp;'Standard Tests'!E28&amp;"' range. A summary of RBANS performance relative to pre-morbid estimates is shown below in Figure 1."</f>
        <v>Mr Examples's overall performance on the RBANS is measured as a Total Scaled Score Index, this is the most reliable index in the battery, and most strongly correlating with FSIQ. The score was 64 (90% CI 57-71), which compared to the pre-morbid estimate is markedly below expected and relative to the UK population as a whole, is qualitatively in the 'Extremely Low' range. A summary of RBANS performance relative to pre-morbid estimates is shown below in Figure 1.</v>
      </c>
      <c r="D5" s="728"/>
      <c r="E5" s="661"/>
      <c r="F5" s="661"/>
      <c r="G5" s="728"/>
      <c r="H5" s="748" t="s">
        <v>743</v>
      </c>
      <c r="I5" s="728"/>
      <c r="J5" s="661"/>
      <c r="K5" s="661"/>
      <c r="L5" s="661"/>
      <c r="M5" s="661"/>
      <c r="N5" s="661"/>
    </row>
    <row r="6" spans="1:14" ht="40.25" customHeight="1" x14ac:dyDescent="0.15">
      <c r="A6" s="663"/>
      <c r="B6" s="730"/>
      <c r="C6" s="637" t="s">
        <v>741</v>
      </c>
      <c r="D6" s="728"/>
      <c r="E6" s="661"/>
      <c r="F6" s="661"/>
      <c r="G6" s="728"/>
      <c r="H6" s="749" t="str" cm="1">
        <f t="array" ref="H6:K6">"Thank you for referring "&amp;'Front Page &amp; Raw Test Scores'!D9&amp;", a "&amp;'Front Page &amp; Raw Test Scores'!D15&amp;"-year-old "&amp;'Front Page &amp; Raw Test Scores'!L7:M7&amp;", "&amp;'Front Page &amp; Raw Test Scores'!F17&amp;" "&amp;'Front Page &amp; Raw Test Scores'!L9:O9&amp;", for neuropsychological assessment. I report here my findings. Following the results of our multidisciplinary discussion, I provided interim feedback for "&amp;'Front Page &amp; Raw Test Scores'!D9&amp;" via the telephone.  "</f>
        <v xml:space="preserve">Thank you for referring Mr Examples, a 67-year-old ambidextrous, female non-driver, for neuropsychological assessment. I report here my findings. Following the results of our multidisciplinary discussion, I provided interim feedback for Mr Examples via the telephone.  </v>
      </c>
      <c r="I6" s="728" t="str">
        <v xml:space="preserve">Thank you for referring Mr Examples, a 67-year-old , female , for neuropsychological assessment. I report here my findings. Following the results of our multidisciplinary discussion, I provided interim feedback for Mr Examples via the telephone.  </v>
      </c>
      <c r="J6" s="661" t="e">
        <v>#N/A</v>
      </c>
      <c r="K6" s="661" t="e">
        <v>#N/A</v>
      </c>
      <c r="L6" s="661"/>
      <c r="M6" s="661"/>
      <c r="N6" s="661"/>
    </row>
    <row r="7" spans="1:14" ht="340.25" customHeight="1" x14ac:dyDescent="0.15">
      <c r="A7" s="663"/>
      <c r="B7" s="730"/>
      <c r="C7" s="649" t="s">
        <v>749</v>
      </c>
      <c r="D7" s="728"/>
      <c r="E7" s="661"/>
      <c r="F7" s="661"/>
      <c r="G7" s="728"/>
      <c r="H7" s="728"/>
      <c r="I7" s="728"/>
      <c r="J7" s="661"/>
      <c r="K7" s="661"/>
      <c r="L7" s="661"/>
      <c r="M7" s="661"/>
      <c r="N7" s="661"/>
    </row>
    <row r="8" spans="1:14" ht="118.25" customHeight="1" x14ac:dyDescent="0.15">
      <c r="A8" s="664" t="s">
        <v>668</v>
      </c>
      <c r="B8" s="731"/>
      <c r="C8" s="645" t="str">
        <f>"On a test of list learning words with immediate recall, "&amp;TOPF!E20&amp;" was able to retain words totalling a score of "&amp;'Standard Tests'!B10&amp;" over four trials, this produced a scaled score of "&amp;'Standard Tests'!C10&amp;" ("&amp;'Standard Tests'!S10&amp;" percentile) which is "&amp;'Standard Tests'!N10&amp;" compared to the pre-morbid estimate (z="&amp;ROUND('Standard Tests'!G10,1)&amp;"). On a test of logical memory with immediate recall, "&amp;TOPF!E20&amp;" was able to learn and repeat back a total of "&amp;'Standard Tests'!B11&amp;" aspects of the narrative over two trials, which produced a scaled score of "&amp;'Standard Tests'!C11&amp;" ("&amp;'Standard Tests'!S11&amp;" percentile) which is "&amp;'Standard Tests'!N11&amp;" compared to the pre-morbid estimate (z="&amp;ROUND('Standard Tests'!G11,1)&amp;"). The overall RBANS Immediate Memory Index for "&amp;TOPF!E20&amp;" was calculated to be "&amp;'Standard Tests'!B23&amp;" "&amp;'Standard Tests'!O23&amp;" placing at the "&amp;'Standard Tests'!S23&amp;" percentile, which is "&amp;'Standard Tests'!N23&amp;" compared to the pre-morbid estimate (z="&amp;ROUND('Standard Tests'!G23,1)&amp;")."</f>
        <v>On a test of list learning words with immediate recall, Mr Examples was able to retain words totalling a score of 30 over four trials, this produced a scaled score of 12 (75th percentile) which is as expected compared to the pre-morbid estimate (z=0.3). On a test of logical memory with immediate recall, Mr Examples was able to learn and repeat back a total of 17 aspects of the narrative over two trials, which produced a scaled score of 9 (37th percentile) which is as expected compared to the pre-morbid estimate (z=-0.7). The overall RBANS Immediate Memory Index for Mr Examples was calculated to be 109 (90% CI 99-119) placing at the 73rd percentile, which is as expected compared to the pre-morbid estimate (z=0.2).</v>
      </c>
      <c r="D8" s="728"/>
      <c r="E8" s="661"/>
      <c r="F8" s="661"/>
      <c r="G8" s="661"/>
      <c r="H8" s="661"/>
      <c r="I8" s="661" t="str">
        <f>"On a test of test of learning a list of words, "&amp;TOPF!E20&amp;" was able to learn "&amp;'Standard Tests'!B10&amp;" words over four trials, this produced a scaled score of "&amp;'Standard Tests'!C10&amp;"("&amp;'Standard Tests'!S10&amp;" percentile) which is "&amp;'Standard Tests'!N10&amp;" compared to the pre-morbid estimate (z="&amp;ROUND('Standard Tests'!G10,1)&amp;")"</f>
        <v>On a test of test of learning a list of words, Mr Examples was able to learn 30 words over four trials, this produced a scaled score of 12(75th percentile) which is as expected compared to the pre-morbid estimate (z=0.3)</v>
      </c>
      <c r="J8" s="661"/>
      <c r="K8" s="661"/>
      <c r="L8" s="661"/>
      <c r="M8" s="661"/>
      <c r="N8" s="661"/>
    </row>
    <row r="9" spans="1:14" ht="138" customHeight="1" x14ac:dyDescent="0.15">
      <c r="A9" s="664" t="s">
        <v>667</v>
      </c>
      <c r="B9" s="731"/>
      <c r="C9" s="637" t="str">
        <f>"On a test of recalling the same list learning words with a delay, "&amp;TOPF!E20&amp;" was able to remember "&amp;'Standard Tests'!B18&amp;" out of 10 words placing in the percentile range of "&amp;'Standard Tests'!D18&amp;" which is "&amp;'Standard Tests'!P18&amp;" compared to the pre-morbid estimate. On a test of recognition for the same list after a delay, "&amp;TOPF!E20&amp;" was able to correctly recognise and distinguish "&amp;'Standard Tests'!B19&amp;" words out of 20, placing in the "&amp;'Standard Tests'!D19&amp;" percentile range; this is "&amp;'Standard Tests'!P19&amp;" compared to the pre-morbid estimate. On a test of logical memory recall after a delay, "&amp;TOPF!E20&amp;" was able to remember "&amp;'Standard Tests'!B20&amp;" details about the narrative, producing a scaled score of "&amp;'Standard Tests'!C20&amp;" ("&amp;'Standard Tests'!S20&amp;" percentile) which is "&amp;'Standard Tests'!N20&amp;" compared to the pre-morbid estimate (z="&amp;ROUND('Standard Tests'!G20,1)&amp;"). On a test of delayed recall of a complex figure, "&amp;TOPF!E20&amp;" was able to remember and draw "&amp;'Standard Tests'!B21&amp;" aspects of the figure, producing a scaled score of "&amp;'Standard Tests'!C21&amp;" ("&amp;'Standard Tests'!S21&amp;" percentile) which is "&amp;'Standard Tests'!N21&amp;" compared to the pre-morbid estimate (z="&amp;ROUND('Standard Tests'!G21,1)&amp;"). The overall RBANS Delayed Memory Index for "&amp;TOPF!E20&amp;" was calculated to be "&amp;'Standard Tests'!B27&amp;" "&amp;'Standard Tests'!O27&amp;" placing at the "&amp;'Standard Tests'!S27&amp;" percentile, which is "&amp;'Standard Tests'!N27&amp;" compared to the pre-morbid estimate (z="&amp;ROUND('Standard Tests'!G27,1)&amp;")."</f>
        <v>On a test of recalling the same list learning words with a delay, Mr Examples was able to remember 5 out of 10 words placing in the percentile range of 26th-50th% which is as expected compared to the pre-morbid estimate. On a test of recognition for the same list after a delay, Mr Examples was able to correctly recognise and distinguish 15 words out of 20, placing in the ≤2nd% percentile range; this is markedly below expected compared to the pre-morbid estimate. On a test of logical memory recall after a delay, Mr Examples was able to remember 8 details about the narrative, producing a scaled score of 9 (37th percentile) which is as expected compared to the pre-morbid estimate (z=-0.7). On a test of delayed recall of a complex figure, Mr Examples was able to remember and draw 10 aspects of the figure, producing a scaled score of 8 (25th percentile) which is borderline lower than expected compared to the pre-morbid estimate (z=-1). The overall RBANS Delayed Memory Index for Mr Examples was calculated to be 75 (90% CI 65-85) placing at the 5th percentile, which is markedly below expected compared to the pre-morbid estimate (z=-2).</v>
      </c>
      <c r="D9" s="728"/>
      <c r="E9" s="661"/>
      <c r="F9" s="661"/>
      <c r="G9" s="661"/>
      <c r="H9" s="661"/>
      <c r="I9" s="661"/>
      <c r="J9" s="661"/>
      <c r="K9" s="661"/>
      <c r="L9" s="661"/>
      <c r="M9" s="661"/>
      <c r="N9" s="661"/>
    </row>
    <row r="10" spans="1:14" ht="45" customHeight="1" x14ac:dyDescent="0.15">
      <c r="A10" s="664" t="s">
        <v>666</v>
      </c>
      <c r="B10" s="731"/>
      <c r="C10" s="645" t="str">
        <f>"The aggregated learning ratio for the RBANS immediate memory tests was calculated at "&amp;ROUND('LR Post-Hoc'!D12,2)&amp;", compared to research means (sd) of healthy controls at 0.75 (±0.2), MCI 0.4 (±0.2) and AD 0.24 (±0.1)"</f>
        <v>The aggregated learning ratio for the RBANS immediate memory tests was calculated at 1, compared to research means (sd) of healthy controls at 0.75 (±0.2), MCI 0.4 (±0.2) and AD 0.24 (±0.1)</v>
      </c>
      <c r="D10" s="728"/>
      <c r="E10" s="661"/>
      <c r="F10" s="661"/>
      <c r="G10" s="661"/>
      <c r="H10" s="661"/>
      <c r="I10" s="661"/>
      <c r="J10" s="661"/>
      <c r="K10" s="661"/>
      <c r="L10" s="661"/>
      <c r="M10" s="661"/>
      <c r="N10" s="661"/>
    </row>
    <row r="11" spans="1:14" ht="59.5" customHeight="1" x14ac:dyDescent="0.15">
      <c r="A11" s="664" t="s">
        <v>665</v>
      </c>
      <c r="B11" s="731"/>
      <c r="C11" s="666" t="str">
        <f>"Guessing on yes/no test of recognition with 20 questions would yield scores of 6 to 14 in over 99.8% of the cases. The probability of obtaining the score "&amp;'Standard Tests'!B19&amp;" out of 20 correct discriminations, with a p=0.5 chance of correct selection of yes or no for each word, in the delayed recognition task by guessing is "&amp;'P(Word Recog)'!G5&amp;". Probabilities at this level (assuming p≤0.05 sig) are indicative of "&amp;'P(Word Recog)'!D6&amp;"."</f>
        <v>Guessing on yes/no test of recognition with 20 questions would yield scores of 6 to 14 in over 99.8% of the cases. The probability of obtaining the score 15 out of 20 correct discriminations, with a p=0.5 chance of correct selection of yes or no for each word, in the delayed recognition task by guessing is 0.0147857666015625. Probabilities at this level (assuming p≤0.05 sig) are indicative of statistically unlikely guessing, and therefore indicate memory functioning.</v>
      </c>
      <c r="D11" s="728"/>
      <c r="E11" s="661"/>
      <c r="F11" s="665"/>
      <c r="G11" s="661"/>
      <c r="H11" s="661"/>
      <c r="I11" s="661"/>
      <c r="J11" s="661"/>
      <c r="K11" s="661"/>
      <c r="L11" s="661"/>
      <c r="M11" s="661"/>
      <c r="N11" s="661"/>
    </row>
    <row r="12" spans="1:14" x14ac:dyDescent="0.15">
      <c r="A12" s="664"/>
      <c r="B12" s="731"/>
      <c r="D12" s="728"/>
      <c r="E12" s="661"/>
      <c r="F12" s="661"/>
      <c r="G12" s="661"/>
      <c r="H12" s="661"/>
      <c r="I12" s="661"/>
      <c r="J12" s="661"/>
      <c r="K12" s="661"/>
      <c r="L12" s="661"/>
      <c r="M12" s="661"/>
      <c r="N12" s="661"/>
    </row>
    <row r="13" spans="1:14" ht="31.25" customHeight="1" x14ac:dyDescent="0.15">
      <c r="A13" s="664"/>
      <c r="B13" s="731"/>
      <c r="C13" s="649" t="s">
        <v>748</v>
      </c>
      <c r="D13" s="728"/>
      <c r="E13" s="661"/>
      <c r="F13" s="661"/>
      <c r="G13" s="661"/>
      <c r="H13" s="661"/>
      <c r="I13" s="661"/>
      <c r="J13" s="661"/>
      <c r="K13" s="661"/>
      <c r="L13" s="661"/>
      <c r="M13" s="661"/>
      <c r="N13" s="661"/>
    </row>
    <row r="14" spans="1:14" ht="117.5" customHeight="1" x14ac:dyDescent="0.15">
      <c r="A14" s="664" t="s">
        <v>664</v>
      </c>
      <c r="B14" s="731"/>
      <c r="C14" s="652" t="str">
        <f>"On a test of confrontational naming, "&amp;TOPF!E20&amp;" was able to identify "&amp;'Standard Tests'!B14&amp;" out of 10 pictures placing in the percentile range of "&amp;'Standard Tests'!D14&amp;" which is "&amp;'Standard Tests'!P14&amp;" compared to the pre-morbid estimate. On a test of semantic fluency, "&amp;TOPF!E20&amp;" was able produce "&amp;'Standard Tests'!B15&amp;" words in one minute, producing a scaled score of "&amp;'Standard Tests'!C15&amp;" ("&amp;'Standard Tests'!S15&amp;" percentile) which is "&amp;'Standard Tests'!N15&amp;" compared to the pre-morbid estimate (z="&amp;ROUND('Standard Tests'!G15,1)&amp;").  The overall RBANS Language Index for "&amp;TOPF!E20&amp;" was calculated to be "&amp;'Standard Tests'!B25&amp;" "&amp;'Standard Tests'!O25&amp;" placing at the "&amp;'Standard Tests'!S25&amp;" percentile, which is "&amp;'Standard Tests'!N25&amp;" compared to the pre-morbid estimate (z="&amp;ROUND('Standard Tests'!G25,1)&amp;")."</f>
        <v>On a test of confrontational naming, Mr Examples was able to identify 0 out of 10 pictures placing in the percentile range of ≤2nd% which is markedly below expected compared to the pre-morbid estimate. On a test of semantic fluency, Mr Examples was able produce 16 words in one minute, producing a scaled score of 7 (16th percentile) which is borderline lower than expected compared to the pre-morbid estimate (z=-1.2).  The overall RBANS Language Index for Mr Examples was calculated to be 60 (90% CI 50-70) placing at the &lt;1st percentile, which is markedly below expected compared to the pre-morbid estimate (z=-2.9).</v>
      </c>
      <c r="D14" s="728"/>
      <c r="E14" s="661"/>
      <c r="F14" s="661"/>
      <c r="G14" s="661"/>
      <c r="H14" s="661"/>
      <c r="I14" s="661"/>
      <c r="J14" s="661"/>
      <c r="K14" s="661"/>
      <c r="L14" s="661"/>
      <c r="M14" s="661"/>
      <c r="N14" s="661"/>
    </row>
    <row r="15" spans="1:14" ht="58.75" customHeight="1" x14ac:dyDescent="0.15">
      <c r="A15" s="664" t="s">
        <v>663</v>
      </c>
      <c r="B15" s="731"/>
      <c r="C15" s="651" t="str">
        <f>"On a further, more in depth test of semantic fluency, "&amp;TOPF!E20&amp;" was able produce a total score of "&amp;'Standard Tests'!B37&amp;" words (excluding repetitions and set-loss errors) across two trials each of one minute, producing an overall scaled score of "&amp;'Standard Tests'!C37&amp;" which is "&amp;'Standard Tests'!N37&amp;" compared to the pre-morbid estimate (z="&amp;ROUND('Standard Tests'!G37,1)&amp;"). There were "&amp;'Standard Tests'!M37&amp;" errors during this test."&amp;(IF('Standard Tests'!M37=0,""," ("&amp;'Standard Tests'!J37&amp;" x repetition, "&amp;'Standard Tests'!K37&amp;" x perseveration and "&amp;'Standard Tests'!L37&amp;" x set-loss)."))</f>
        <v>On a further, more in depth test of semantic fluency, Mr Examples was able produce a total score of 0 words (excluding repetitions and set-loss errors) across two trials each of one minute, producing an overall scaled score of 1 which is markedly below expected compared to the pre-morbid estimate (z=-3.2). There were 0 errors during this test.</v>
      </c>
      <c r="D15" s="728"/>
      <c r="E15" s="661"/>
      <c r="F15" s="661"/>
      <c r="G15" s="661"/>
      <c r="H15" s="661"/>
      <c r="I15" s="661"/>
      <c r="J15" s="661"/>
      <c r="K15" s="661"/>
      <c r="L15" s="661"/>
      <c r="M15" s="661"/>
      <c r="N15" s="661"/>
    </row>
    <row r="16" spans="1:14" x14ac:dyDescent="0.15">
      <c r="A16" s="663"/>
      <c r="B16" s="730"/>
      <c r="D16" s="728"/>
      <c r="E16" s="661"/>
      <c r="F16" s="661"/>
      <c r="G16" s="661"/>
      <c r="H16" s="661"/>
      <c r="I16" s="661"/>
      <c r="J16" s="661"/>
      <c r="K16" s="661"/>
      <c r="L16" s="661"/>
      <c r="M16" s="661"/>
      <c r="N16" s="661"/>
    </row>
    <row r="17" spans="1:14" x14ac:dyDescent="0.15">
      <c r="A17" s="661"/>
      <c r="B17" s="728"/>
      <c r="C17" s="649" t="s">
        <v>747</v>
      </c>
      <c r="D17" s="728"/>
      <c r="E17" s="661"/>
      <c r="F17" s="661"/>
      <c r="G17" s="661"/>
      <c r="H17" s="661"/>
      <c r="I17" s="661"/>
      <c r="J17" s="661"/>
      <c r="K17" s="661"/>
      <c r="L17" s="661"/>
      <c r="M17" s="661"/>
      <c r="N17" s="661"/>
    </row>
    <row r="18" spans="1:14" ht="181.25" customHeight="1" x14ac:dyDescent="0.15">
      <c r="A18" s="661"/>
      <c r="B18" s="728"/>
      <c r="C18" s="637" t="str">
        <f>"On a test of verbal attention and working memory, "&amp;TOPF!E20&amp;" was able to repeat back a maximum string of "&amp;'Standard Tests'!M16&amp;" numbers, producing a scaled score of "&amp;'Standard Tests'!C16&amp;" ("&amp;'Standard Tests'!S16&amp;" percentile) which is "&amp;'Standard Tests'!N16&amp;" compared to the pre-morbid estimate (z="&amp;ROUND('Standard Tests'!G16,1)&amp;").  On a test of sustained attention using a symbol coding task, "&amp;TOPF!E20&amp;" was able to code "&amp;'Standard Tests'!B17&amp;" numbers, producing a scaled score of "&amp;'Standard Tests'!C17&amp;" ("&amp;'Standard Tests'!S17&amp;" percentile) which is "&amp;'Standard Tests'!N17&amp;" compared to the pre-morbid estimate (z="&amp;ROUND('Standard Tests'!G17,1)&amp;"). The overall RBANS Attention Index for "&amp;TOPF!E20&amp;" was calculated to be "&amp;'Standard Tests'!B26&amp;" "&amp;'Standard Tests'!O26&amp;" placing at the "&amp;'Standard Tests'!S26&amp;" percentile, which is "&amp;'Standard Tests'!N26&amp;" compared to the pre-morbid estimate (z="&amp;ROUND('Standard Tests'!G26,1)&amp;").
On tests of verbal processing speeds "&amp;TOPF!E20&amp;" was able to complete sentences sensibly in a time of "&amp;'Standard Tests'!B41&amp; " seconds, which is "&amp;'Standard Tests'!N41&amp;" relative to the predicted performance. On tests of inhibition, the overall time was "&amp;'Standard Tests'!B42&amp;" seconds, which is "&amp;'Standard Tests'!N42&amp;" relative to the predicted performance. The number of directly connected errors was "&amp;'Standard Tests'!B45&amp;", and the number of partly connected errors was "&amp;'Standard Tests'!B46&amp;". The overall inhibition performance independent of time was "&amp;'Standard Tests'!N43&amp;", and the overall performance on the Hayling test was "&amp;'Standard Tests'!N51&amp;" (z="&amp;ROUND('Standard Tests'!G51,2)&amp;")."</f>
        <v>On a test of verbal attention and working memory, Mr Examples was able to repeat back a maximum string of 3 numbers, producing a scaled score of 2 (&lt;1st percentile) which is markedly below expected compared to the pre-morbid estimate (z=-2.9).  On a test of sustained attention using a symbol coding task, Mr Examples was able to code 38 numbers, producing a scaled score of 7 (16th percentile) which is borderline lower than expected compared to the pre-morbid estimate (z=-1.2). The overall RBANS Attention Index for Mr Examples was calculated to be 64 (90% CI 54-74) placing at the &lt;1st percentile, which is markedly below expected compared to the pre-morbid estimate (z=-2.6).
On tests of verbal processing speeds Mr Examples was able to complete sentences sensibly in a time of 0 seconds, which is as expected relative to the predicted performance. On tests of inhibition, the overall time was 0 seconds, which is as expected relative to the predicted performance. The number of directly connected errors was 0, and the number of partly connected errors was 0. The overall inhibition performance independent of time was as expected, and the overall performance on the Hayling test was above expected (z=1.79).</v>
      </c>
      <c r="D18" s="728"/>
      <c r="E18" s="661"/>
      <c r="F18" s="661"/>
      <c r="G18" s="661"/>
      <c r="H18" s="661"/>
      <c r="I18" s="661"/>
      <c r="J18" s="661"/>
      <c r="K18" s="661"/>
      <c r="L18" s="661"/>
      <c r="M18" s="661"/>
      <c r="N18" s="661"/>
    </row>
    <row r="19" spans="1:14" ht="45" customHeight="1" x14ac:dyDescent="0.15">
      <c r="A19" s="661"/>
      <c r="B19" s="728"/>
      <c r="C19" s="637" t="str">
        <f>"On a test of divided attention for trail making targets, "&amp;TOPF!$E$20&amp;" completed the test in "&amp;'Standard Tests'!$B$33&amp;" seconds, with a scaled score of "&amp;'Standard Tests'!$C$33&amp;" which is "&amp;'Standard Tests'!$N$33&amp;" compared to pre-morbid estimates (z="&amp;ROUND('Standard Tests'!$G$33,1)&amp;")"</f>
        <v>On a test of divided attention for trail making targets, Mr Examples completed the test in 0 seconds, with a scaled score of 18 which is above expected compared to pre-morbid estimates (z=2.5)</v>
      </c>
      <c r="D19" s="728"/>
      <c r="E19" s="661"/>
      <c r="F19" s="661"/>
      <c r="G19" s="661"/>
      <c r="H19" s="661"/>
      <c r="I19" s="661"/>
      <c r="J19" s="661"/>
      <c r="K19" s="661"/>
      <c r="L19" s="661"/>
      <c r="M19" s="661"/>
      <c r="N19" s="661"/>
    </row>
    <row r="20" spans="1:14" ht="145.25" customHeight="1" x14ac:dyDescent="0.15">
      <c r="A20" s="661"/>
      <c r="B20" s="728"/>
      <c r="C20" s="637" t="str">
        <f>"On a test of divided attention for semantic fluency, "&amp;TOPF!E20&amp;" was able produce a total score of "&amp;'Standard Tests'!B38&amp;" words (excluding repetitions and set-loss errors) with "&amp;'Standard Tests'!B39&amp;" correct switches over one minute, producing an overall scaled score of "&amp;'Standard Tests'!C38&amp;" for content which is "&amp;'Standard Tests'!N38&amp;" compared to the pre-morbid estimate (z="&amp;ROUND('Standard Tests'!G38,1)&amp;"), and a scaled score of "&amp;'Standard Tests'!C39&amp;" for switching, which is "&amp;'Standard Tests'!N39&amp;" compared to the pre-morbid estimate (z="&amp;ROUND('Standard Tests'!G39,1)&amp;"). The total number of content errors during this test was "&amp;'Standard Tests'!M38&amp;""&amp;(IF('Standard Tests'!M38=0,""," ("&amp;'Standard Tests'!J38&amp;" x repetition, "&amp;'Standard Tests'!K38&amp;" x perseveration and "&amp;'Standard Tests'!L38&amp;" x set-loss), the total number of switching errors was "&amp;'Front Page &amp; Raw Test Scores'!J55&amp;".
On a test of phonemic fluency "&amp;TOPF!E20&amp;" was able produce a total score of "&amp;'Standard Tests'!B36&amp;" words (excluding repetitions and set-loss errors) across three trials each of one minute, producing an overall scaled score of "&amp;'Standard Tests'!C36&amp;" which is "&amp;'Standard Tests'!N36&amp;" compared to the pre-morbid estimate (z="&amp;ROUND('Standard Tests'!G36,1)&amp;"). There were "&amp;'Standard Tests'!M36&amp;" errors during this test."&amp;(IF('Standard Tests'!M36=0,""," ("&amp;'Standard Tests'!J36&amp;" x repetition, "&amp;'Standard Tests'!K36&amp;" x perseveration and "&amp;'Standard Tests'!L36&amp;" x set-loss)."))))</f>
        <v>On a test of divided attention for semantic fluency, Mr Examples was able produce a total score of 0 words (excluding repetitions and set-loss errors) with 0 correct switches over one minute, producing an overall scaled score of 1 for content which is markedly below expected compared to the pre-morbid estimate (z=-3.2), and a scaled score of 1 for switching, which is markedly below expected compared to the pre-morbid estimate (z=-3.2). The total number of content errors during this test was 0</v>
      </c>
      <c r="D20" s="728"/>
      <c r="E20" s="661"/>
      <c r="F20" s="661"/>
      <c r="G20" s="661"/>
      <c r="H20" s="661"/>
      <c r="I20" s="661"/>
      <c r="J20" s="661"/>
      <c r="K20" s="661"/>
      <c r="L20" s="661"/>
      <c r="M20" s="661"/>
      <c r="N20" s="661"/>
    </row>
    <row r="21" spans="1:14" x14ac:dyDescent="0.15">
      <c r="A21" s="661"/>
      <c r="B21" s="728"/>
      <c r="D21" s="728"/>
      <c r="E21" s="661"/>
      <c r="F21" s="661"/>
      <c r="G21" s="661"/>
      <c r="H21" s="661"/>
      <c r="I21" s="661"/>
      <c r="J21" s="661"/>
      <c r="K21" s="661"/>
      <c r="L21" s="661"/>
      <c r="M21" s="661"/>
      <c r="N21" s="661"/>
    </row>
    <row r="22" spans="1:14" x14ac:dyDescent="0.15">
      <c r="A22" s="661"/>
      <c r="B22" s="728"/>
      <c r="C22" s="649" t="s">
        <v>751</v>
      </c>
      <c r="D22" s="728"/>
      <c r="E22" s="661"/>
      <c r="F22" s="661"/>
      <c r="G22" s="661"/>
      <c r="H22" s="661"/>
      <c r="I22" s="661"/>
      <c r="J22" s="661"/>
      <c r="K22" s="661"/>
      <c r="L22" s="661"/>
      <c r="M22" s="661"/>
      <c r="N22" s="661"/>
    </row>
    <row r="23" spans="1:14" ht="87" customHeight="1" x14ac:dyDescent="0.15">
      <c r="A23" s="661"/>
      <c r="B23" s="728"/>
      <c r="C23" s="637" t="str">
        <f>"On a test of copying a complex figure accurately, "&amp;TOPF!E20&amp;" was able to score "&amp;'Standard Tests'!B12&amp;" points out of 20, producing a scaled score of "&amp;'Standard Tests'!C12&amp;" ("&amp;'Standard Tests'!S12&amp;" percentile), which is "&amp;'Standard Tests'!N12&amp;" compared to the pre-morbid estimate (z="&amp;ROUND('Standard Tests'!G12,1)&amp;"). On a test of judegment of angles, "&amp;TOPF!E20&amp;" was able to correctly judge and match "&amp;'Standard Tests'!B13&amp;" out of 20 angles of lines, placing in the "&amp;'Standard Tests'!U13&amp;" percentile range, which is "&amp;'Standard Tests'!P13&amp;" compared to the pre-morbid estimate. The overall RBANS Visuospatial and Constructional Index for "&amp;TOPF!E20&amp;" was calculated to be "&amp;'Standard Tests'!B24&amp;" "&amp;'Standard Tests'!O24&amp;", which is "&amp;'Standard Tests'!N24&amp;" compared to the pre-morbid estimate (z="&amp;ROUND('Standard Tests'!G24,1)&amp;")."</f>
        <v>On a test of copying a complex figure accurately, Mr Examples was able to score 0 points out of 20, producing a scaled score of 1 (&lt;1st percentile), which is markedly below expected compared to the pre-morbid estimate (z=-3.2). On a test of judegment of angles, Mr Examples was able to correctly judge and match 0 out of 20 angles of lines, placing in the ≤2nd% percentile range, which is markedly below expected compared to the pre-morbid estimate. The overall RBANS Visuospatial and Constructional Index for Mr Examples was calculated to be 50 (90% CI 40-60), which is markedly below expected compared to the pre-morbid estimate (z=-3.5).</v>
      </c>
      <c r="D23" s="728"/>
      <c r="E23" s="661"/>
      <c r="F23" s="661"/>
      <c r="G23" s="661"/>
      <c r="H23" s="661"/>
      <c r="I23" s="661"/>
      <c r="J23" s="661"/>
      <c r="K23" s="661"/>
      <c r="L23" s="661"/>
      <c r="M23" s="661"/>
      <c r="N23" s="661"/>
    </row>
    <row r="24" spans="1:14" ht="101.5" customHeight="1" x14ac:dyDescent="0.15">
      <c r="A24" s="661"/>
      <c r="C24" s="637" t="str">
        <f>"On a test of target discrimination, "&amp;TOPF!$E$20&amp;" completed the test in "&amp;'Standard Tests'!$B$30&amp;" seconds, with a scaled score of "&amp;'Standard Tests'!$C$30&amp;" which is "&amp;'Standard Tests'!$N$30&amp;" compared to pre-morbid estimates (z="&amp;ROUND('Standard Tests'!$G$30,1)&amp;"). On a test of trail making for numbers, "&amp;TOPF!$E$20&amp;" completed the test in "&amp;'Standard Tests'!$B$31&amp;" seconds, with a scaled score of "&amp;'Standard Tests'!$C$31&amp;" which is "&amp;'Standard Tests'!$N$31&amp;" compared to pre-morbid estimates (z="&amp;ROUND('Standard Tests'!$G$31,1)&amp;"). On a test of trail making for letters, "&amp;TOPF!$E$20&amp;" completed the test in "&amp;'Standard Tests'!$B$32&amp;" seconds, with a scaled score of "&amp;'Standard Tests'!$C$32&amp;" which is "&amp;'Standard Tests'!$N$32&amp;" compared to pre-morbid estimates (z="&amp;ROUND('Standard Tests'!$G$32,1)&amp;"). On a test of speed of motor skills, "&amp;TOPF!$E$20&amp;" completed the test in "&amp;'Standard Tests'!$B$34&amp;" seconds, with a scaled score of "&amp;'Standard Tests'!$C$34&amp;" which is "&amp;'Standard Tests'!$N$34&amp;" compared to pre-morbid estimates (z="&amp;ROUND('Standard Tests'!$G$34,1)&amp;")."</f>
        <v>On a test of target discrimination, Mr Examples completed the test in 0 seconds, with a scaled score of 19 which is above expected compared to pre-morbid estimates (z=2.8). On a test of trail making for numbers, Mr Examples completed the test in 0 seconds, with a scaled score of 19 which is above expected compared to pre-morbid estimates (z=2.8). On a test of trail making for letters, Mr Examples completed the test in 0 seconds, with a scaled score of 18 which is above expected compared to pre-morbid estimates (z=2.5). On a test of speed of motor skills, Mr Examples completed the test in 0 seconds, with a scaled score of 16 which is above expected compared to pre-morbid estimates (z=1.8).</v>
      </c>
      <c r="D24" s="728"/>
      <c r="E24" s="661"/>
      <c r="F24" s="661"/>
      <c r="G24" s="661"/>
      <c r="H24" s="661"/>
      <c r="I24" s="661"/>
      <c r="J24" s="661"/>
      <c r="K24" s="661"/>
      <c r="L24" s="661"/>
      <c r="M24" s="661"/>
      <c r="N24" s="661"/>
    </row>
    <row r="25" spans="1:14" x14ac:dyDescent="0.15">
      <c r="A25" s="661"/>
      <c r="E25" s="661"/>
      <c r="F25" s="661"/>
      <c r="G25" s="661"/>
      <c r="H25" s="661"/>
    </row>
    <row r="26" spans="1:14" x14ac:dyDescent="0.15">
      <c r="A26" s="661"/>
      <c r="E26" s="661"/>
      <c r="F26" s="661"/>
      <c r="G26" s="661"/>
      <c r="H26" s="661"/>
    </row>
    <row r="27" spans="1:14" x14ac:dyDescent="0.15">
      <c r="A27" s="661"/>
      <c r="E27" s="661"/>
      <c r="F27" s="661"/>
      <c r="G27" s="661"/>
      <c r="H27" s="661"/>
    </row>
    <row r="28" spans="1:14" x14ac:dyDescent="0.15">
      <c r="A28" s="661"/>
      <c r="E28" s="661"/>
      <c r="F28" s="661"/>
      <c r="G28" s="661"/>
      <c r="H28" s="661"/>
    </row>
    <row r="29" spans="1:14" x14ac:dyDescent="0.15">
      <c r="A29" s="661"/>
      <c r="E29" s="661"/>
      <c r="F29" s="661"/>
      <c r="G29" s="661"/>
      <c r="H29" s="661"/>
    </row>
    <row r="30" spans="1:14" ht="98.5" customHeight="1" x14ac:dyDescent="0.15">
      <c r="A30" s="661"/>
      <c r="E30" s="661"/>
      <c r="F30" s="661"/>
      <c r="G30" s="661"/>
      <c r="H30" s="661"/>
    </row>
    <row r="31" spans="1:14" x14ac:dyDescent="0.15">
      <c r="A31" s="661"/>
      <c r="C31" s="643"/>
      <c r="E31" s="661"/>
      <c r="F31" s="661"/>
      <c r="G31" s="661"/>
      <c r="H31" s="661"/>
    </row>
    <row r="32" spans="1:14" x14ac:dyDescent="0.15">
      <c r="A32" s="661"/>
      <c r="C32" s="643"/>
      <c r="E32" s="661"/>
      <c r="F32" s="661"/>
      <c r="G32" s="661"/>
      <c r="H32" s="661"/>
    </row>
    <row r="33" spans="1:8" x14ac:dyDescent="0.15">
      <c r="A33" s="661"/>
      <c r="C33" s="643"/>
      <c r="E33" s="661"/>
      <c r="F33" s="661"/>
      <c r="G33" s="661"/>
      <c r="H33" s="661"/>
    </row>
    <row r="34" spans="1:8" x14ac:dyDescent="0.15">
      <c r="A34" s="661"/>
      <c r="E34" s="661"/>
      <c r="F34" s="661"/>
      <c r="G34" s="661"/>
      <c r="H34" s="661"/>
    </row>
    <row r="35" spans="1:8" x14ac:dyDescent="0.15">
      <c r="A35" s="661"/>
      <c r="E35" s="661"/>
      <c r="F35" s="661"/>
      <c r="G35" s="661"/>
      <c r="H35" s="661"/>
    </row>
    <row r="36" spans="1:8" x14ac:dyDescent="0.15">
      <c r="A36" s="661"/>
      <c r="E36" s="661"/>
      <c r="F36" s="661"/>
      <c r="G36" s="661"/>
      <c r="H36" s="661"/>
    </row>
    <row r="37" spans="1:8" x14ac:dyDescent="0.15">
      <c r="A37" s="661"/>
      <c r="E37" s="661"/>
      <c r="F37" s="661"/>
      <c r="G37" s="661"/>
      <c r="H37" s="661"/>
    </row>
    <row r="38" spans="1:8" x14ac:dyDescent="0.15">
      <c r="A38" s="661"/>
      <c r="E38" s="661"/>
      <c r="F38" s="661"/>
      <c r="G38" s="661"/>
      <c r="H38" s="661"/>
    </row>
    <row r="39" spans="1:8" x14ac:dyDescent="0.15">
      <c r="A39" s="661"/>
      <c r="E39" s="661"/>
      <c r="F39" s="661"/>
      <c r="G39" s="661"/>
      <c r="H39" s="661"/>
    </row>
    <row r="40" spans="1:8" x14ac:dyDescent="0.15">
      <c r="A40" s="661"/>
      <c r="E40" s="661"/>
      <c r="F40" s="661"/>
      <c r="G40" s="661"/>
      <c r="H40" s="661"/>
    </row>
    <row r="41" spans="1:8" x14ac:dyDescent="0.15">
      <c r="A41" s="661"/>
      <c r="E41" s="661"/>
      <c r="F41" s="661"/>
      <c r="G41" s="661"/>
      <c r="H41" s="661"/>
    </row>
    <row r="42" spans="1:8" x14ac:dyDescent="0.15">
      <c r="A42" s="661"/>
      <c r="E42" s="661"/>
      <c r="F42" s="661"/>
      <c r="G42" s="661"/>
      <c r="H42" s="661"/>
    </row>
    <row r="43" spans="1:8" x14ac:dyDescent="0.15">
      <c r="A43" s="661"/>
      <c r="E43" s="661"/>
      <c r="F43" s="661"/>
      <c r="G43" s="661"/>
      <c r="H43" s="661"/>
    </row>
    <row r="44" spans="1:8" x14ac:dyDescent="0.15">
      <c r="A44" s="661"/>
      <c r="E44" s="661"/>
      <c r="F44" s="661"/>
      <c r="G44" s="661"/>
      <c r="H44" s="661"/>
    </row>
    <row r="45" spans="1:8" x14ac:dyDescent="0.15">
      <c r="A45" s="661"/>
      <c r="E45" s="661"/>
      <c r="F45" s="661"/>
      <c r="G45" s="661"/>
      <c r="H45" s="661"/>
    </row>
    <row r="60" spans="3:3" x14ac:dyDescent="0.15">
      <c r="C60" s="14" t="s">
        <v>753</v>
      </c>
    </row>
    <row r="62" spans="3:3" ht="30" x14ac:dyDescent="0.15">
      <c r="C62" s="643" t="str">
        <f>"On a test of target discrimination, "&amp;TOPF!$E$20&amp;" completed the test in "&amp;'Standard Tests'!$B$30&amp;" seconds, with a scaled score of "&amp;'Standard Tests'!$C$30&amp;" which is "&amp;'Standard Tests'!$N$30&amp;" compared to pre-morbid estimates (z="&amp;ROUND('Standard Tests'!$G$30,1)&amp;")"</f>
        <v>On a test of target discrimination, Mr Examples completed the test in 0 seconds, with a scaled score of 19 which is above expected compared to pre-morbid estimates (z=2.8)</v>
      </c>
    </row>
    <row r="63" spans="3:3" ht="30" x14ac:dyDescent="0.15">
      <c r="C63" s="643" t="str">
        <f>"On a test of trail making for numbers, "&amp;TOPF!$E$20&amp;" completed the test in "&amp;'Standard Tests'!$B$31&amp;" seconds, with a scaled score of "&amp;'Standard Tests'!$C$31&amp;" which is "&amp;'Standard Tests'!$N$31&amp;" compared to pre-morbid estimates (z="&amp;ROUND('Standard Tests'!$G$31,1)&amp;")"</f>
        <v>On a test of trail making for numbers, Mr Examples completed the test in 0 seconds, with a scaled score of 19 which is above expected compared to pre-morbid estimates (z=2.8)</v>
      </c>
    </row>
    <row r="64" spans="3:3" ht="30" x14ac:dyDescent="0.15">
      <c r="C64" s="643" t="str">
        <f>"On a test of trail making for letters, "&amp;TOPF!$E$20&amp;" completed the test in "&amp;'Standard Tests'!$B$32&amp;" seconds, with a scaled score of "&amp;'Standard Tests'!$C$32&amp;" which is "&amp;'Standard Tests'!$N$32&amp;" compared to pre-morbid estimates (z="&amp;ROUND('Standard Tests'!$G$32,1)&amp;")"</f>
        <v>On a test of trail making for letters, Mr Examples completed the test in 0 seconds, with a scaled score of 18 which is above expected compared to pre-morbid estimates (z=2.5)</v>
      </c>
    </row>
    <row r="65" spans="3:3" ht="30" x14ac:dyDescent="0.15">
      <c r="C65" s="643" t="str">
        <f>"On a test of speed of motor skills, "&amp;TOPF!$E$20&amp;" completed the test in "&amp;'Standard Tests'!$B$34&amp;" seconds, with a scaled score of "&amp;'Standard Tests'!$C$34&amp;" which is "&amp;'Standard Tests'!$N$34&amp;" compared to pre-morbid estimates (z="&amp;ROUND('Standard Tests'!$G$34,1)&amp;")"</f>
        <v>On a test of speed of motor skills, Mr Examples completed the test in 0 seconds, with a scaled score of 16 which is above expected compared to pre-morbid estimates (z=1.8)</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F47D8-7C0D-4C5B-810A-C4A77E946D3F}">
  <sheetPr>
    <tabColor theme="4" tint="0.39997558519241921"/>
  </sheetPr>
  <dimension ref="A1:Y237"/>
  <sheetViews>
    <sheetView showGridLines="0" topLeftCell="A2" workbookViewId="0">
      <selection activeCell="C43" sqref="C43"/>
    </sheetView>
  </sheetViews>
  <sheetFormatPr baseColWidth="10" defaultColWidth="8.83203125" defaultRowHeight="11" x14ac:dyDescent="0.15"/>
  <cols>
    <col min="1" max="1" width="6.5" style="747" customWidth="1"/>
    <col min="2" max="2" width="19.1640625" style="673" customWidth="1"/>
    <col min="3" max="3" width="12.1640625" style="673" customWidth="1"/>
    <col min="4" max="4" width="12.33203125" style="673" customWidth="1"/>
    <col min="5" max="5" width="9.5" style="673" customWidth="1"/>
    <col min="6" max="6" width="12.33203125" style="673" customWidth="1"/>
    <col min="7" max="7" width="9.5" style="673" bestFit="1" customWidth="1"/>
    <col min="8" max="8" width="9" style="673" bestFit="1" customWidth="1"/>
    <col min="9" max="16384" width="8.83203125" style="673"/>
  </cols>
  <sheetData>
    <row r="1" spans="2:25" s="747" customFormat="1" x14ac:dyDescent="0.15"/>
    <row r="2" spans="2:25" ht="12" x14ac:dyDescent="0.15">
      <c r="B2" s="674" t="str">
        <f>'Standard Tests'!A5</f>
        <v>TOPF</v>
      </c>
      <c r="C2" s="675" t="s">
        <v>178</v>
      </c>
      <c r="D2" s="676" t="s">
        <v>3</v>
      </c>
      <c r="E2" s="676" t="s">
        <v>41</v>
      </c>
      <c r="F2" s="676" t="s">
        <v>4</v>
      </c>
      <c r="G2" s="677" t="s">
        <v>64</v>
      </c>
      <c r="H2" s="678"/>
      <c r="I2" s="747"/>
      <c r="J2" s="747"/>
      <c r="K2" s="747"/>
      <c r="L2" s="747"/>
      <c r="M2" s="747"/>
      <c r="N2" s="747"/>
      <c r="O2" s="747"/>
      <c r="P2" s="747"/>
      <c r="Q2" s="747"/>
      <c r="R2" s="747"/>
      <c r="S2" s="747"/>
      <c r="T2" s="747"/>
      <c r="U2" s="747"/>
      <c r="V2" s="747"/>
      <c r="W2" s="747"/>
      <c r="X2" s="747"/>
      <c r="Y2" s="747"/>
    </row>
    <row r="3" spans="2:25" ht="12" x14ac:dyDescent="0.15">
      <c r="B3" s="679" t="s">
        <v>5</v>
      </c>
      <c r="C3" s="746">
        <f>'Standard Tests'!B6</f>
        <v>103.13976599999997</v>
      </c>
      <c r="D3" s="746" t="str">
        <f>'Standard Tests'!C6</f>
        <v>11</v>
      </c>
      <c r="E3" s="746">
        <f>'Standard Tests'!D6</f>
        <v>0.58289989540363751</v>
      </c>
      <c r="F3" s="746" t="str">
        <f>'Standard Tests'!E6</f>
        <v>Average</v>
      </c>
      <c r="G3" s="682">
        <f>'Standard Tests'!F6</f>
        <v>0.20931773333333106</v>
      </c>
      <c r="H3" s="683"/>
      <c r="I3" s="747"/>
      <c r="J3" s="747"/>
      <c r="K3" s="747"/>
      <c r="L3" s="747"/>
      <c r="M3" s="747"/>
      <c r="N3" s="747"/>
      <c r="O3" s="747"/>
      <c r="P3" s="747"/>
      <c r="Q3" s="747"/>
      <c r="R3" s="747"/>
      <c r="S3" s="747"/>
      <c r="T3" s="747"/>
      <c r="U3" s="747"/>
      <c r="V3" s="747"/>
      <c r="W3" s="747"/>
      <c r="X3" s="747"/>
      <c r="Y3" s="747"/>
    </row>
    <row r="4" spans="2:25" ht="12" x14ac:dyDescent="0.15">
      <c r="B4" s="679" t="s">
        <v>6</v>
      </c>
      <c r="C4" s="746">
        <f>'Standard Tests'!B7</f>
        <v>105.4067</v>
      </c>
      <c r="D4" s="746" t="str">
        <f>'Standard Tests'!C7</f>
        <v>11</v>
      </c>
      <c r="E4" s="746">
        <f>'Standard Tests'!D7</f>
        <v>0.64074343318901383</v>
      </c>
      <c r="F4" s="746" t="str">
        <f>'Standard Tests'!E7</f>
        <v>Average</v>
      </c>
      <c r="G4" s="682">
        <f>'Standard Tests'!F7</f>
        <v>0.36044666666666669</v>
      </c>
      <c r="H4" s="683"/>
      <c r="I4" s="747"/>
      <c r="J4" s="747"/>
      <c r="K4" s="747"/>
      <c r="L4" s="747"/>
      <c r="M4" s="747"/>
      <c r="N4" s="747"/>
      <c r="O4" s="747"/>
      <c r="P4" s="747"/>
      <c r="Q4" s="747"/>
      <c r="R4" s="747"/>
      <c r="S4" s="747"/>
      <c r="T4" s="747"/>
      <c r="U4" s="747"/>
      <c r="V4" s="747"/>
      <c r="W4" s="747"/>
      <c r="X4" s="747"/>
      <c r="Y4" s="747"/>
    </row>
    <row r="5" spans="2:25" ht="12" x14ac:dyDescent="0.15">
      <c r="B5" s="684" t="s">
        <v>7</v>
      </c>
      <c r="C5" s="746">
        <f>'Standard Tests'!B8</f>
        <v>105.26920000000001</v>
      </c>
      <c r="D5" s="746" t="str">
        <f>'Standard Tests'!C8</f>
        <v>11</v>
      </c>
      <c r="E5" s="746">
        <f>'Standard Tests'!D8</f>
        <v>0.63731085111571373</v>
      </c>
      <c r="F5" s="746" t="str">
        <f>'Standard Tests'!E8</f>
        <v>Average</v>
      </c>
      <c r="G5" s="682">
        <f>'Standard Tests'!F8</f>
        <v>0.35128000000000081</v>
      </c>
      <c r="H5" s="683"/>
      <c r="I5" s="747"/>
      <c r="J5" s="747"/>
      <c r="K5" s="747"/>
      <c r="L5" s="747"/>
      <c r="M5" s="747"/>
      <c r="N5" s="747"/>
      <c r="O5" s="747"/>
      <c r="P5" s="747"/>
      <c r="Q5" s="747"/>
      <c r="R5" s="747"/>
      <c r="S5" s="747"/>
      <c r="T5" s="747"/>
      <c r="U5" s="747"/>
      <c r="V5" s="747"/>
      <c r="W5" s="747"/>
      <c r="X5" s="747"/>
      <c r="Y5" s="747"/>
    </row>
    <row r="6" spans="2:25" ht="12" x14ac:dyDescent="0.15">
      <c r="B6" s="685" t="s">
        <v>8</v>
      </c>
      <c r="C6" s="686" t="s">
        <v>179</v>
      </c>
      <c r="D6" s="687" t="s">
        <v>3</v>
      </c>
      <c r="E6" s="687" t="s">
        <v>41</v>
      </c>
      <c r="F6" s="687" t="s">
        <v>4</v>
      </c>
      <c r="G6" s="688" t="s">
        <v>10</v>
      </c>
      <c r="H6" s="688" t="s">
        <v>474</v>
      </c>
      <c r="I6" s="747"/>
      <c r="J6" s="747"/>
      <c r="K6" s="747"/>
      <c r="L6" s="747"/>
      <c r="M6" s="747"/>
      <c r="N6" s="747"/>
      <c r="O6" s="747"/>
      <c r="P6" s="747"/>
      <c r="Q6" s="747"/>
      <c r="R6" s="747"/>
      <c r="S6" s="747"/>
      <c r="T6" s="747"/>
      <c r="U6" s="747"/>
      <c r="V6" s="747"/>
      <c r="W6" s="747"/>
      <c r="X6" s="747"/>
      <c r="Y6" s="747"/>
    </row>
    <row r="7" spans="2:25" ht="12" x14ac:dyDescent="0.15">
      <c r="B7" s="689" t="s">
        <v>11</v>
      </c>
      <c r="C7" s="690">
        <f>'Standard Tests'!B10</f>
        <v>30</v>
      </c>
      <c r="D7" s="690">
        <f>'Standard Tests'!C10</f>
        <v>12</v>
      </c>
      <c r="E7" s="742">
        <f>'Standard Tests'!D10</f>
        <v>0.74750746245307709</v>
      </c>
      <c r="F7" s="690" t="str">
        <f>'Standard Tests'!E10</f>
        <v>High Average</v>
      </c>
      <c r="G7" s="690">
        <f>'Standard Tests'!F10</f>
        <v>1</v>
      </c>
      <c r="H7" s="682">
        <f>'Standard Tests'!G10</f>
        <v>0.30621999999999994</v>
      </c>
      <c r="I7" s="747"/>
      <c r="J7" s="747"/>
      <c r="K7" s="747"/>
      <c r="L7" s="747"/>
      <c r="M7" s="747"/>
      <c r="N7" s="747"/>
      <c r="O7" s="747"/>
      <c r="P7" s="747"/>
      <c r="Q7" s="747"/>
      <c r="R7" s="747"/>
      <c r="S7" s="747"/>
      <c r="T7" s="747"/>
      <c r="U7" s="747"/>
      <c r="V7" s="747"/>
      <c r="W7" s="747"/>
      <c r="X7" s="747"/>
      <c r="Y7" s="747"/>
    </row>
    <row r="8" spans="2:25" ht="12" x14ac:dyDescent="0.15">
      <c r="B8" s="689" t="s">
        <v>12</v>
      </c>
      <c r="C8" s="690">
        <f>'Standard Tests'!B11</f>
        <v>17</v>
      </c>
      <c r="D8" s="690">
        <f>'Standard Tests'!C11</f>
        <v>9</v>
      </c>
      <c r="E8" s="742">
        <f>'Standard Tests'!D11</f>
        <v>0.36944134018176361</v>
      </c>
      <c r="F8" s="690" t="str">
        <f>'Standard Tests'!E11</f>
        <v>Average</v>
      </c>
      <c r="G8" s="690">
        <f>'Standard Tests'!F11</f>
        <v>-2</v>
      </c>
      <c r="H8" s="682">
        <f>'Standard Tests'!G11</f>
        <v>-0.69378000000000006</v>
      </c>
      <c r="I8" s="747"/>
      <c r="J8" s="747"/>
      <c r="K8" s="747"/>
      <c r="L8" s="747"/>
      <c r="M8" s="747"/>
      <c r="N8" s="747"/>
      <c r="O8" s="747"/>
      <c r="P8" s="747"/>
      <c r="Q8" s="747"/>
      <c r="R8" s="747"/>
      <c r="S8" s="747"/>
      <c r="T8" s="747"/>
      <c r="U8" s="747"/>
      <c r="V8" s="747"/>
      <c r="W8" s="747"/>
      <c r="X8" s="747"/>
      <c r="Y8" s="747"/>
    </row>
    <row r="9" spans="2:25" ht="12" x14ac:dyDescent="0.15">
      <c r="B9" s="689" t="s">
        <v>13</v>
      </c>
      <c r="C9" s="690">
        <f>'Standard Tests'!B12</f>
        <v>0</v>
      </c>
      <c r="D9" s="740">
        <f>'Standard Tests'!C12</f>
        <v>1</v>
      </c>
      <c r="E9" s="742">
        <f>'Standard Tests'!D12</f>
        <v>1.3498980316300933E-3</v>
      </c>
      <c r="F9" s="690" t="str">
        <f>'Standard Tests'!E12</f>
        <v>Extremely Low</v>
      </c>
      <c r="G9" s="690">
        <f>'Standard Tests'!F12</f>
        <v>-10</v>
      </c>
      <c r="H9" s="682">
        <f>'Standard Tests'!G12</f>
        <v>-3.2093177333333309</v>
      </c>
      <c r="I9" s="747"/>
      <c r="J9" s="747"/>
      <c r="K9" s="747"/>
      <c r="L9" s="747"/>
      <c r="M9" s="747"/>
      <c r="N9" s="747"/>
      <c r="O9" s="747"/>
      <c r="P9" s="747"/>
      <c r="Q9" s="747"/>
      <c r="R9" s="747"/>
      <c r="S9" s="747"/>
      <c r="T9" s="747"/>
      <c r="U9" s="747"/>
      <c r="V9" s="747"/>
      <c r="W9" s="747"/>
      <c r="X9" s="747"/>
      <c r="Y9" s="747"/>
    </row>
    <row r="10" spans="2:25" ht="12" x14ac:dyDescent="0.15">
      <c r="B10" s="689" t="s">
        <v>14</v>
      </c>
      <c r="C10" s="693">
        <f>'Standard Tests'!B13</f>
        <v>0</v>
      </c>
      <c r="D10" s="740"/>
      <c r="E10" s="690" t="str">
        <f>'Standard Tests'!D13</f>
        <v>≤2nd%</v>
      </c>
      <c r="F10" s="690" t="str">
        <f>'Standard Tests'!E13</f>
        <v>Extremely Low</v>
      </c>
      <c r="G10" s="744"/>
      <c r="H10" s="682"/>
      <c r="I10" s="747"/>
      <c r="J10" s="747"/>
      <c r="K10" s="747"/>
      <c r="L10" s="747"/>
      <c r="M10" s="747"/>
      <c r="N10" s="747"/>
      <c r="O10" s="747"/>
      <c r="P10" s="747"/>
      <c r="Q10" s="747"/>
      <c r="R10" s="747"/>
      <c r="S10" s="747"/>
      <c r="T10" s="747"/>
      <c r="U10" s="747"/>
      <c r="V10" s="747"/>
      <c r="W10" s="747"/>
      <c r="X10" s="747"/>
      <c r="Y10" s="747"/>
    </row>
    <row r="11" spans="2:25" ht="12" x14ac:dyDescent="0.15">
      <c r="B11" s="689" t="s">
        <v>16</v>
      </c>
      <c r="C11" s="693">
        <f>'Standard Tests'!B14</f>
        <v>0</v>
      </c>
      <c r="D11" s="741"/>
      <c r="E11" s="690" t="str">
        <f>'Standard Tests'!D14</f>
        <v>≤2nd%</v>
      </c>
      <c r="F11" s="690" t="str">
        <f>'Standard Tests'!E14</f>
        <v>Extremely Low</v>
      </c>
      <c r="G11" s="745"/>
      <c r="H11" s="682"/>
      <c r="I11" s="747"/>
      <c r="J11" s="747"/>
      <c r="K11" s="747"/>
      <c r="L11" s="747"/>
      <c r="M11" s="747"/>
      <c r="N11" s="747"/>
      <c r="O11" s="747"/>
      <c r="P11" s="747"/>
      <c r="Q11" s="747"/>
      <c r="R11" s="747"/>
      <c r="S11" s="747"/>
      <c r="T11" s="747"/>
      <c r="U11" s="747"/>
      <c r="V11" s="747"/>
      <c r="W11" s="747"/>
      <c r="X11" s="747"/>
      <c r="Y11" s="747"/>
    </row>
    <row r="12" spans="2:25" ht="12" x14ac:dyDescent="0.15">
      <c r="B12" s="689" t="s">
        <v>17</v>
      </c>
      <c r="C12" s="690">
        <f>'Standard Tests'!B15</f>
        <v>16</v>
      </c>
      <c r="D12" s="741">
        <f>'Standard Tests'!C15</f>
        <v>7</v>
      </c>
      <c r="E12" s="743">
        <f>'Standard Tests'!D15</f>
        <v>0.15865525393145699</v>
      </c>
      <c r="F12" s="690" t="str">
        <f>'Standard Tests'!E15</f>
        <v>Low Average</v>
      </c>
      <c r="G12" s="690">
        <f>'Standard Tests'!F15</f>
        <v>-4</v>
      </c>
      <c r="H12" s="682">
        <f>'Standard Tests'!G15</f>
        <v>-1.2093177333333311</v>
      </c>
      <c r="I12" s="747"/>
      <c r="J12" s="747"/>
      <c r="K12" s="747"/>
      <c r="L12" s="747"/>
      <c r="M12" s="747"/>
      <c r="N12" s="747"/>
      <c r="O12" s="747"/>
      <c r="P12" s="747"/>
      <c r="Q12" s="747"/>
      <c r="R12" s="747"/>
      <c r="S12" s="747"/>
      <c r="T12" s="747"/>
      <c r="U12" s="747"/>
      <c r="V12" s="747"/>
      <c r="W12" s="747"/>
      <c r="X12" s="747"/>
      <c r="Y12" s="747"/>
    </row>
    <row r="13" spans="2:25" ht="12" x14ac:dyDescent="0.15">
      <c r="B13" s="689" t="s">
        <v>18</v>
      </c>
      <c r="C13" s="690">
        <f>'Standard Tests'!B16</f>
        <v>4</v>
      </c>
      <c r="D13" s="690">
        <f>'Standard Tests'!C16</f>
        <v>2</v>
      </c>
      <c r="E13" s="743">
        <f>'Standard Tests'!D16</f>
        <v>3.8303805675897356E-3</v>
      </c>
      <c r="F13" s="690" t="str">
        <f>'Standard Tests'!E16</f>
        <v>Extremely Low</v>
      </c>
      <c r="G13" s="690">
        <f>'Standard Tests'!F16</f>
        <v>-9</v>
      </c>
      <c r="H13" s="682">
        <f>'Standard Tests'!G16</f>
        <v>-2.8759843999999974</v>
      </c>
      <c r="I13" s="747"/>
      <c r="J13" s="747"/>
      <c r="K13" s="747"/>
      <c r="L13" s="747"/>
      <c r="M13" s="747"/>
      <c r="N13" s="747"/>
      <c r="O13" s="747"/>
      <c r="P13" s="747"/>
      <c r="Q13" s="747"/>
      <c r="R13" s="747"/>
      <c r="S13" s="747"/>
      <c r="T13" s="747"/>
      <c r="U13" s="747"/>
      <c r="V13" s="747"/>
      <c r="W13" s="747"/>
      <c r="X13" s="747"/>
      <c r="Y13" s="747"/>
    </row>
    <row r="14" spans="2:25" ht="12" x14ac:dyDescent="0.15">
      <c r="B14" s="689" t="s">
        <v>19</v>
      </c>
      <c r="C14" s="690">
        <f>'Standard Tests'!B17</f>
        <v>38</v>
      </c>
      <c r="D14" s="740">
        <f>'Standard Tests'!C17</f>
        <v>7</v>
      </c>
      <c r="E14" s="743">
        <f>'Standard Tests'!D17</f>
        <v>0.15865525393145699</v>
      </c>
      <c r="F14" s="690" t="str">
        <f>'Standard Tests'!E17</f>
        <v>Low Average</v>
      </c>
      <c r="G14" s="740">
        <f>'Standard Tests'!F17</f>
        <v>-4</v>
      </c>
      <c r="H14" s="682">
        <f>'Standard Tests'!G17</f>
        <v>-1.2093177333333311</v>
      </c>
      <c r="I14" s="747"/>
      <c r="J14" s="747"/>
      <c r="K14" s="747"/>
      <c r="L14" s="747"/>
      <c r="M14" s="747"/>
      <c r="N14" s="747"/>
      <c r="O14" s="747"/>
      <c r="P14" s="747"/>
      <c r="Q14" s="747"/>
      <c r="R14" s="747"/>
      <c r="S14" s="747"/>
      <c r="T14" s="747"/>
      <c r="U14" s="747"/>
      <c r="V14" s="747"/>
      <c r="W14" s="747"/>
      <c r="X14" s="747"/>
      <c r="Y14" s="747"/>
    </row>
    <row r="15" spans="2:25" ht="12" x14ac:dyDescent="0.15">
      <c r="B15" s="689" t="s">
        <v>20</v>
      </c>
      <c r="C15" s="693">
        <f>'Standard Tests'!B18</f>
        <v>5</v>
      </c>
      <c r="D15" s="740"/>
      <c r="E15" s="690" t="str">
        <f>'Standard Tests'!D18</f>
        <v>26th-50th%</v>
      </c>
      <c r="F15" s="693" t="str">
        <f>'Standard Tests'!E18</f>
        <v>Average</v>
      </c>
      <c r="G15" s="744"/>
      <c r="H15" s="682"/>
      <c r="I15" s="747"/>
      <c r="J15" s="747"/>
      <c r="K15" s="747"/>
      <c r="L15" s="747"/>
      <c r="M15" s="747"/>
      <c r="N15" s="747"/>
      <c r="O15" s="747"/>
      <c r="P15" s="747"/>
      <c r="Q15" s="747"/>
      <c r="R15" s="747"/>
      <c r="S15" s="747"/>
      <c r="T15" s="747"/>
      <c r="U15" s="747"/>
      <c r="V15" s="747"/>
      <c r="W15" s="747"/>
      <c r="X15" s="747"/>
      <c r="Y15" s="747"/>
    </row>
    <row r="16" spans="2:25" ht="12" x14ac:dyDescent="0.15">
      <c r="B16" s="689" t="s">
        <v>21</v>
      </c>
      <c r="C16" s="693">
        <f>'Standard Tests'!B19</f>
        <v>15</v>
      </c>
      <c r="D16" s="741"/>
      <c r="E16" s="690" t="str">
        <f>'Standard Tests'!D19</f>
        <v>≤2nd%</v>
      </c>
      <c r="F16" s="693" t="str">
        <f>'Standard Tests'!E19</f>
        <v>Extremely Low</v>
      </c>
      <c r="G16" s="745"/>
      <c r="H16" s="682"/>
      <c r="I16" s="747"/>
      <c r="J16" s="747"/>
      <c r="K16" s="747"/>
      <c r="L16" s="747"/>
      <c r="M16" s="747"/>
      <c r="N16" s="747"/>
      <c r="O16" s="747"/>
      <c r="P16" s="747"/>
      <c r="Q16" s="747"/>
      <c r="R16" s="747"/>
      <c r="S16" s="747"/>
      <c r="T16" s="747"/>
      <c r="U16" s="747"/>
      <c r="V16" s="747"/>
      <c r="W16" s="747"/>
      <c r="X16" s="747"/>
      <c r="Y16" s="747"/>
    </row>
    <row r="17" spans="2:25" ht="12" x14ac:dyDescent="0.15">
      <c r="B17" s="689" t="s">
        <v>22</v>
      </c>
      <c r="C17" s="690">
        <f>'Standard Tests'!B20</f>
        <v>8</v>
      </c>
      <c r="D17" s="741">
        <f>'Standard Tests'!C20</f>
        <v>9</v>
      </c>
      <c r="E17" s="743">
        <f>'Standard Tests'!D20</f>
        <v>0.36944134018176361</v>
      </c>
      <c r="F17" s="690" t="str">
        <f>'Standard Tests'!E20</f>
        <v>Average</v>
      </c>
      <c r="G17" s="741">
        <f>'Standard Tests'!F20</f>
        <v>-2</v>
      </c>
      <c r="H17" s="682">
        <f>'Standard Tests'!G20</f>
        <v>-0.68461333333333418</v>
      </c>
      <c r="I17" s="747"/>
      <c r="J17" s="747"/>
      <c r="K17" s="747"/>
      <c r="L17" s="747"/>
      <c r="M17" s="747"/>
      <c r="N17" s="747"/>
      <c r="O17" s="747"/>
      <c r="P17" s="747"/>
      <c r="Q17" s="747"/>
      <c r="R17" s="747"/>
      <c r="S17" s="747"/>
      <c r="T17" s="747"/>
      <c r="U17" s="747"/>
      <c r="V17" s="747"/>
      <c r="W17" s="747"/>
      <c r="X17" s="747"/>
      <c r="Y17" s="747"/>
    </row>
    <row r="18" spans="2:25" ht="12" x14ac:dyDescent="0.15">
      <c r="B18" s="689" t="s">
        <v>23</v>
      </c>
      <c r="C18" s="690">
        <f>'Standard Tests'!B21</f>
        <v>10</v>
      </c>
      <c r="D18" s="690">
        <f>'Standard Tests'!C21</f>
        <v>8</v>
      </c>
      <c r="E18" s="743">
        <f>'Standard Tests'!D21</f>
        <v>0.25249253754692291</v>
      </c>
      <c r="F18" s="690" t="str">
        <f>'Standard Tests'!E21</f>
        <v>Average</v>
      </c>
      <c r="G18" s="690">
        <f>'Standard Tests'!F21</f>
        <v>-3</v>
      </c>
      <c r="H18" s="682">
        <f>'Standard Tests'!G21</f>
        <v>-1.0179466666666674</v>
      </c>
      <c r="I18" s="747"/>
      <c r="J18" s="747"/>
      <c r="K18" s="747"/>
      <c r="L18" s="747"/>
      <c r="M18" s="747"/>
      <c r="N18" s="747"/>
      <c r="O18" s="747"/>
      <c r="P18" s="747"/>
      <c r="Q18" s="747"/>
      <c r="R18" s="747"/>
      <c r="S18" s="747"/>
      <c r="T18" s="747"/>
      <c r="U18" s="747"/>
      <c r="V18" s="747"/>
      <c r="W18" s="747"/>
      <c r="X18" s="747"/>
      <c r="Y18" s="747"/>
    </row>
    <row r="19" spans="2:25" ht="12" x14ac:dyDescent="0.15">
      <c r="B19" s="689"/>
      <c r="C19" s="686" t="s">
        <v>178</v>
      </c>
      <c r="D19" s="686" t="str">
        <f>'Standard Tests'!C22</f>
        <v>±90% CI</v>
      </c>
      <c r="E19" s="687" t="s">
        <v>41</v>
      </c>
      <c r="F19" s="848" t="s">
        <v>4</v>
      </c>
      <c r="G19" s="848"/>
      <c r="H19" s="682" t="s">
        <v>475</v>
      </c>
      <c r="I19" s="747"/>
      <c r="J19" s="747"/>
      <c r="K19" s="747"/>
      <c r="L19" s="747"/>
      <c r="M19" s="747"/>
      <c r="N19" s="747"/>
      <c r="O19" s="747"/>
      <c r="P19" s="747"/>
      <c r="Q19" s="747"/>
      <c r="R19" s="747"/>
      <c r="S19" s="747"/>
      <c r="T19" s="747"/>
      <c r="U19" s="747"/>
      <c r="V19" s="747"/>
      <c r="W19" s="747"/>
      <c r="X19" s="747"/>
      <c r="Y19" s="747"/>
    </row>
    <row r="20" spans="2:25" ht="12" x14ac:dyDescent="0.15">
      <c r="B20" s="685" t="s">
        <v>24</v>
      </c>
      <c r="C20" s="686">
        <f>'Standard Tests'!B23</f>
        <v>109</v>
      </c>
      <c r="D20" s="696">
        <f>'Standard Tests'!C23</f>
        <v>10</v>
      </c>
      <c r="E20" s="697">
        <f>'Standard Tests'!D23</f>
        <v>0.72574688224992645</v>
      </c>
      <c r="F20" s="843" t="str">
        <f>'Standard Tests'!E23</f>
        <v>Average</v>
      </c>
      <c r="G20" s="843"/>
      <c r="H20" s="682">
        <f>'Standard Tests'!G23</f>
        <v>0.23955333333333328</v>
      </c>
      <c r="I20" s="747"/>
      <c r="J20" s="747"/>
      <c r="K20" s="747"/>
      <c r="L20" s="747"/>
      <c r="M20" s="747"/>
      <c r="N20" s="747"/>
      <c r="O20" s="747"/>
      <c r="P20" s="747"/>
      <c r="Q20" s="747"/>
      <c r="R20" s="747"/>
      <c r="S20" s="747"/>
      <c r="T20" s="747"/>
      <c r="U20" s="747"/>
      <c r="V20" s="747"/>
      <c r="W20" s="747"/>
      <c r="X20" s="747"/>
      <c r="Y20" s="747"/>
    </row>
    <row r="21" spans="2:25" ht="12" x14ac:dyDescent="0.15">
      <c r="B21" s="685" t="s">
        <v>177</v>
      </c>
      <c r="C21" s="686">
        <f>'Standard Tests'!B24</f>
        <v>50</v>
      </c>
      <c r="D21" s="696">
        <f>'Standard Tests'!C24</f>
        <v>10</v>
      </c>
      <c r="E21" s="697">
        <f>'Standard Tests'!D24</f>
        <v>4.2906033319683703E-4</v>
      </c>
      <c r="F21" s="843" t="str">
        <f>'Standard Tests'!E24</f>
        <v>Extremely Low</v>
      </c>
      <c r="G21" s="843"/>
      <c r="H21" s="682">
        <f>'Standard Tests'!G24</f>
        <v>-3.5426510666666644</v>
      </c>
      <c r="I21" s="747"/>
      <c r="J21" s="747"/>
      <c r="K21" s="747"/>
      <c r="L21" s="747"/>
      <c r="M21" s="747"/>
      <c r="N21" s="747"/>
      <c r="O21" s="747"/>
      <c r="P21" s="747"/>
      <c r="Q21" s="747"/>
      <c r="R21" s="747"/>
      <c r="S21" s="747"/>
      <c r="T21" s="747"/>
      <c r="U21" s="747"/>
      <c r="V21" s="747"/>
      <c r="W21" s="747"/>
      <c r="X21" s="747"/>
      <c r="Y21" s="747"/>
    </row>
    <row r="22" spans="2:25" ht="12" x14ac:dyDescent="0.15">
      <c r="B22" s="685" t="s">
        <v>26</v>
      </c>
      <c r="C22" s="686">
        <f>'Standard Tests'!B25</f>
        <v>60</v>
      </c>
      <c r="D22" s="696">
        <f>'Standard Tests'!C25</f>
        <v>10</v>
      </c>
      <c r="E22" s="697">
        <f>'Standard Tests'!D25</f>
        <v>3.8303805675897356E-3</v>
      </c>
      <c r="F22" s="843" t="str">
        <f>'Standard Tests'!E25</f>
        <v>Extremely Low</v>
      </c>
      <c r="G22" s="843"/>
      <c r="H22" s="682">
        <f>'Standard Tests'!G25</f>
        <v>-2.8759843999999974</v>
      </c>
      <c r="I22" s="747"/>
      <c r="J22" s="747"/>
      <c r="K22" s="747"/>
      <c r="L22" s="747"/>
      <c r="M22" s="747"/>
      <c r="N22" s="747"/>
      <c r="O22" s="747"/>
      <c r="P22" s="747"/>
      <c r="Q22" s="747"/>
      <c r="R22" s="747"/>
      <c r="S22" s="747"/>
      <c r="T22" s="747"/>
      <c r="U22" s="747"/>
      <c r="V22" s="747"/>
      <c r="W22" s="747"/>
      <c r="X22" s="747"/>
      <c r="Y22" s="747"/>
    </row>
    <row r="23" spans="2:25" ht="12" x14ac:dyDescent="0.15">
      <c r="B23" s="685" t="s">
        <v>27</v>
      </c>
      <c r="C23" s="686">
        <f>'Standard Tests'!B26</f>
        <v>64</v>
      </c>
      <c r="D23" s="696">
        <f>'Standard Tests'!C26</f>
        <v>10</v>
      </c>
      <c r="E23" s="697">
        <f>'Standard Tests'!D26</f>
        <v>8.1975359245961311E-3</v>
      </c>
      <c r="F23" s="843" t="str">
        <f>'Standard Tests'!E26</f>
        <v>Extremely Low</v>
      </c>
      <c r="G23" s="843"/>
      <c r="H23" s="682">
        <f>'Standard Tests'!G26</f>
        <v>-2.6093177333333308</v>
      </c>
      <c r="I23" s="747"/>
      <c r="J23" s="747"/>
      <c r="K23" s="747"/>
      <c r="L23" s="747"/>
      <c r="M23" s="747"/>
      <c r="N23" s="747"/>
      <c r="O23" s="747"/>
      <c r="P23" s="747"/>
      <c r="Q23" s="747"/>
      <c r="R23" s="747"/>
      <c r="S23" s="747"/>
      <c r="T23" s="747"/>
      <c r="U23" s="747"/>
      <c r="V23" s="747"/>
      <c r="W23" s="747"/>
      <c r="X23" s="747"/>
      <c r="Y23" s="747"/>
    </row>
    <row r="24" spans="2:25" ht="12" x14ac:dyDescent="0.15">
      <c r="B24" s="685" t="s">
        <v>28</v>
      </c>
      <c r="C24" s="686">
        <f>'Standard Tests'!B27</f>
        <v>75</v>
      </c>
      <c r="D24" s="696">
        <f>'Standard Tests'!C27</f>
        <v>10</v>
      </c>
      <c r="E24" s="697">
        <f>'Standard Tests'!D27</f>
        <v>4.7790352272814703E-2</v>
      </c>
      <c r="F24" s="843" t="str">
        <f>'Standard Tests'!E27</f>
        <v>Borderline</v>
      </c>
      <c r="G24" s="843"/>
      <c r="H24" s="682">
        <f>'Standard Tests'!G27</f>
        <v>-2.0179466666666674</v>
      </c>
      <c r="I24" s="747"/>
      <c r="J24" s="747"/>
      <c r="K24" s="747"/>
      <c r="L24" s="747"/>
      <c r="M24" s="747"/>
      <c r="N24" s="747"/>
      <c r="O24" s="747"/>
      <c r="P24" s="747"/>
      <c r="Q24" s="747"/>
      <c r="R24" s="747"/>
      <c r="S24" s="747"/>
      <c r="T24" s="747"/>
      <c r="U24" s="747"/>
      <c r="V24" s="747"/>
      <c r="W24" s="747"/>
      <c r="X24" s="747"/>
      <c r="Y24" s="747"/>
    </row>
    <row r="25" spans="2:25" ht="12" x14ac:dyDescent="0.15">
      <c r="B25" s="685" t="s">
        <v>210</v>
      </c>
      <c r="C25" s="686">
        <f>'Standard Tests'!B28</f>
        <v>64</v>
      </c>
      <c r="D25" s="696">
        <f>'Standard Tests'!C28</f>
        <v>7</v>
      </c>
      <c r="E25" s="697">
        <f>'Standard Tests'!D28</f>
        <v>8.1975359245961311E-3</v>
      </c>
      <c r="F25" s="843" t="str">
        <f>'Standard Tests'!E28</f>
        <v>Extremely Low</v>
      </c>
      <c r="G25" s="843"/>
      <c r="H25" s="682">
        <f>'Standard Tests'!G28</f>
        <v>-2.6093177333333308</v>
      </c>
      <c r="I25" s="747"/>
      <c r="J25" s="747"/>
      <c r="K25" s="747"/>
      <c r="L25" s="747"/>
      <c r="M25" s="747"/>
      <c r="N25" s="747"/>
      <c r="O25" s="747"/>
      <c r="P25" s="747"/>
      <c r="Q25" s="747"/>
      <c r="R25" s="747"/>
      <c r="S25" s="747"/>
      <c r="T25" s="747"/>
      <c r="U25" s="747"/>
      <c r="V25" s="747"/>
      <c r="W25" s="747"/>
      <c r="X25" s="747"/>
      <c r="Y25" s="747"/>
    </row>
    <row r="26" spans="2:25" ht="12" x14ac:dyDescent="0.15">
      <c r="B26" s="698" t="s">
        <v>30</v>
      </c>
      <c r="C26" s="686" t="s">
        <v>434</v>
      </c>
      <c r="D26" s="687" t="s">
        <v>31</v>
      </c>
      <c r="E26" s="687" t="s">
        <v>41</v>
      </c>
      <c r="F26" s="687" t="s">
        <v>4</v>
      </c>
      <c r="G26" s="677" t="s">
        <v>10</v>
      </c>
      <c r="H26" s="682" t="s">
        <v>474</v>
      </c>
      <c r="I26" s="747"/>
      <c r="J26" s="747"/>
      <c r="K26" s="747"/>
      <c r="L26" s="747"/>
      <c r="M26" s="747"/>
      <c r="N26" s="747"/>
      <c r="O26" s="747"/>
      <c r="P26" s="747"/>
      <c r="Q26" s="747"/>
      <c r="R26" s="747"/>
      <c r="S26" s="747"/>
      <c r="T26" s="747"/>
      <c r="U26" s="747"/>
      <c r="V26" s="747"/>
      <c r="W26" s="747"/>
      <c r="X26" s="747"/>
      <c r="Y26" s="747"/>
    </row>
    <row r="27" spans="2:25" ht="12" x14ac:dyDescent="0.15">
      <c r="B27" s="679" t="s">
        <v>33</v>
      </c>
      <c r="C27" s="690"/>
      <c r="D27" s="687"/>
      <c r="E27" s="692"/>
      <c r="F27" s="681"/>
      <c r="G27" s="691"/>
      <c r="H27" s="682"/>
      <c r="I27" s="747"/>
      <c r="J27" s="747"/>
      <c r="K27" s="747"/>
      <c r="L27" s="747"/>
      <c r="M27" s="747"/>
      <c r="N27" s="747"/>
      <c r="O27" s="747"/>
      <c r="P27" s="747"/>
      <c r="Q27" s="747"/>
      <c r="R27" s="747"/>
      <c r="S27" s="747"/>
      <c r="T27" s="747"/>
      <c r="U27" s="747"/>
      <c r="V27" s="747"/>
      <c r="W27" s="747"/>
      <c r="X27" s="747"/>
      <c r="Y27" s="747"/>
    </row>
    <row r="28" spans="2:25" ht="12" x14ac:dyDescent="0.15">
      <c r="B28" s="679" t="s">
        <v>34</v>
      </c>
      <c r="C28" s="690"/>
      <c r="D28" s="687"/>
      <c r="E28" s="692"/>
      <c r="F28" s="681"/>
      <c r="G28" s="691"/>
      <c r="H28" s="682"/>
      <c r="I28" s="747"/>
      <c r="J28" s="747"/>
      <c r="K28" s="747"/>
      <c r="L28" s="747"/>
      <c r="M28" s="747"/>
      <c r="N28" s="747"/>
      <c r="O28" s="747"/>
      <c r="P28" s="747"/>
      <c r="Q28" s="747"/>
      <c r="R28" s="747"/>
      <c r="S28" s="747"/>
      <c r="T28" s="747"/>
      <c r="U28" s="747"/>
      <c r="V28" s="747"/>
      <c r="W28" s="747"/>
      <c r="X28" s="747"/>
      <c r="Y28" s="747"/>
    </row>
    <row r="29" spans="2:25" ht="12" x14ac:dyDescent="0.15">
      <c r="B29" s="679" t="s">
        <v>35</v>
      </c>
      <c r="C29" s="690"/>
      <c r="D29" s="687"/>
      <c r="E29" s="692"/>
      <c r="F29" s="681"/>
      <c r="G29" s="691"/>
      <c r="H29" s="682"/>
      <c r="I29" s="747"/>
      <c r="J29" s="747"/>
      <c r="K29" s="747"/>
      <c r="L29" s="747"/>
      <c r="M29" s="747"/>
      <c r="N29" s="747"/>
      <c r="O29" s="747"/>
      <c r="P29" s="747"/>
      <c r="Q29" s="747"/>
      <c r="R29" s="747"/>
      <c r="S29" s="747"/>
      <c r="T29" s="747"/>
      <c r="U29" s="747"/>
      <c r="V29" s="747"/>
      <c r="W29" s="747"/>
      <c r="X29" s="747"/>
      <c r="Y29" s="747"/>
    </row>
    <row r="30" spans="2:25" ht="12" x14ac:dyDescent="0.15">
      <c r="B30" s="679" t="s">
        <v>36</v>
      </c>
      <c r="C30" s="690"/>
      <c r="D30" s="687"/>
      <c r="E30" s="692"/>
      <c r="F30" s="681"/>
      <c r="G30" s="691"/>
      <c r="H30" s="682"/>
      <c r="I30" s="747"/>
      <c r="J30" s="747"/>
      <c r="K30" s="747"/>
      <c r="L30" s="747"/>
      <c r="M30" s="747"/>
      <c r="N30" s="747"/>
      <c r="O30" s="747"/>
      <c r="P30" s="747"/>
      <c r="Q30" s="747"/>
      <c r="R30" s="747"/>
      <c r="S30" s="747"/>
      <c r="T30" s="747"/>
      <c r="U30" s="747"/>
      <c r="V30" s="747"/>
      <c r="W30" s="747"/>
      <c r="X30" s="747"/>
      <c r="Y30" s="747"/>
    </row>
    <row r="31" spans="2:25" ht="12" x14ac:dyDescent="0.15">
      <c r="B31" s="679" t="s">
        <v>37</v>
      </c>
      <c r="C31" s="690"/>
      <c r="D31" s="687"/>
      <c r="E31" s="692"/>
      <c r="F31" s="681"/>
      <c r="G31" s="691"/>
      <c r="H31" s="682"/>
      <c r="I31" s="747"/>
      <c r="J31" s="747"/>
      <c r="K31" s="747"/>
      <c r="L31" s="747"/>
      <c r="M31" s="747"/>
      <c r="N31" s="747"/>
      <c r="O31" s="747"/>
      <c r="P31" s="747"/>
      <c r="Q31" s="747"/>
      <c r="R31" s="747"/>
      <c r="S31" s="747"/>
      <c r="T31" s="747"/>
      <c r="U31" s="747"/>
      <c r="V31" s="747"/>
      <c r="W31" s="747"/>
      <c r="X31" s="747"/>
      <c r="Y31" s="747"/>
    </row>
    <row r="32" spans="2:25" ht="12" x14ac:dyDescent="0.15">
      <c r="B32" s="685" t="s">
        <v>38</v>
      </c>
      <c r="C32" s="686" t="s">
        <v>45</v>
      </c>
      <c r="D32" s="687" t="s">
        <v>40</v>
      </c>
      <c r="E32" s="687" t="s">
        <v>41</v>
      </c>
      <c r="F32" s="687" t="s">
        <v>4</v>
      </c>
      <c r="G32" s="677" t="s">
        <v>10</v>
      </c>
      <c r="H32" s="682" t="s">
        <v>474</v>
      </c>
      <c r="I32" s="747"/>
      <c r="J32" s="747"/>
      <c r="K32" s="747"/>
      <c r="L32" s="747"/>
      <c r="M32" s="747"/>
      <c r="N32" s="747"/>
      <c r="O32" s="747"/>
      <c r="P32" s="747"/>
      <c r="Q32" s="747"/>
      <c r="R32" s="747"/>
      <c r="S32" s="747"/>
      <c r="T32" s="747"/>
      <c r="U32" s="747"/>
      <c r="V32" s="747"/>
      <c r="W32" s="747"/>
      <c r="X32" s="747"/>
      <c r="Y32" s="747"/>
    </row>
    <row r="33" spans="2:25" ht="12" x14ac:dyDescent="0.15">
      <c r="B33" s="679" t="s">
        <v>190</v>
      </c>
      <c r="C33" s="690"/>
      <c r="D33" s="687"/>
      <c r="E33" s="692"/>
      <c r="F33" s="681"/>
      <c r="G33" s="691"/>
      <c r="H33" s="682"/>
      <c r="I33" s="747"/>
      <c r="J33" s="747"/>
      <c r="K33" s="747"/>
      <c r="L33" s="747"/>
      <c r="M33" s="747"/>
      <c r="N33" s="747"/>
      <c r="O33" s="747"/>
      <c r="P33" s="747"/>
      <c r="Q33" s="747"/>
      <c r="R33" s="747"/>
      <c r="S33" s="747"/>
      <c r="T33" s="747"/>
      <c r="U33" s="747"/>
      <c r="V33" s="747"/>
      <c r="W33" s="747"/>
      <c r="X33" s="747"/>
      <c r="Y33" s="747"/>
    </row>
    <row r="34" spans="2:25" ht="12" x14ac:dyDescent="0.15">
      <c r="B34" s="679" t="s">
        <v>191</v>
      </c>
      <c r="C34" s="690"/>
      <c r="D34" s="687"/>
      <c r="E34" s="692"/>
      <c r="F34" s="681"/>
      <c r="G34" s="691"/>
      <c r="H34" s="682"/>
      <c r="I34" s="747"/>
      <c r="J34" s="747"/>
      <c r="K34" s="747"/>
      <c r="L34" s="747"/>
      <c r="M34" s="747"/>
      <c r="N34" s="747"/>
      <c r="O34" s="747"/>
      <c r="P34" s="747"/>
      <c r="Q34" s="747"/>
      <c r="R34" s="747"/>
      <c r="S34" s="747"/>
      <c r="T34" s="747"/>
      <c r="U34" s="747"/>
      <c r="V34" s="747"/>
      <c r="W34" s="747"/>
      <c r="X34" s="747"/>
      <c r="Y34" s="747"/>
    </row>
    <row r="35" spans="2:25" ht="12" x14ac:dyDescent="0.15">
      <c r="B35" s="679" t="s">
        <v>192</v>
      </c>
      <c r="C35" s="690"/>
      <c r="D35" s="687"/>
      <c r="E35" s="692"/>
      <c r="F35" s="681"/>
      <c r="G35" s="691"/>
      <c r="H35" s="682"/>
      <c r="I35" s="747"/>
      <c r="J35" s="747"/>
      <c r="K35" s="747"/>
      <c r="L35" s="747"/>
      <c r="M35" s="747"/>
      <c r="N35" s="747"/>
      <c r="O35" s="747"/>
      <c r="P35" s="747"/>
      <c r="Q35" s="747"/>
      <c r="R35" s="747"/>
      <c r="S35" s="747"/>
      <c r="T35" s="747"/>
      <c r="U35" s="747"/>
      <c r="V35" s="747"/>
      <c r="W35" s="747"/>
      <c r="X35" s="747"/>
      <c r="Y35" s="747"/>
    </row>
    <row r="36" spans="2:25" ht="12" x14ac:dyDescent="0.15">
      <c r="B36" s="679" t="s">
        <v>173</v>
      </c>
      <c r="C36" s="690"/>
      <c r="D36" s="687"/>
      <c r="E36" s="692"/>
      <c r="F36" s="681"/>
      <c r="G36" s="691"/>
      <c r="H36" s="682"/>
      <c r="I36" s="747"/>
      <c r="J36" s="747"/>
      <c r="K36" s="747"/>
      <c r="L36" s="747"/>
      <c r="M36" s="747"/>
      <c r="N36" s="747"/>
      <c r="O36" s="747"/>
      <c r="P36" s="747"/>
      <c r="Q36" s="747"/>
      <c r="R36" s="747"/>
      <c r="S36" s="747"/>
      <c r="T36" s="747"/>
      <c r="U36" s="747"/>
      <c r="V36" s="747"/>
      <c r="W36" s="747"/>
      <c r="X36" s="747"/>
      <c r="Y36" s="747"/>
    </row>
    <row r="37" spans="2:25" ht="12" x14ac:dyDescent="0.15">
      <c r="B37" s="699" t="s">
        <v>44</v>
      </c>
      <c r="C37" s="686" t="s">
        <v>180</v>
      </c>
      <c r="D37" s="693" t="s">
        <v>65</v>
      </c>
      <c r="E37" s="687" t="s">
        <v>4</v>
      </c>
      <c r="F37" s="700" t="s">
        <v>40</v>
      </c>
      <c r="G37" s="701" t="s">
        <v>10</v>
      </c>
      <c r="H37" s="750" t="s">
        <v>474</v>
      </c>
      <c r="I37" s="747"/>
      <c r="J37" s="747"/>
      <c r="K37" s="747"/>
      <c r="L37" s="747"/>
      <c r="M37" s="747"/>
      <c r="N37" s="747"/>
      <c r="O37" s="747"/>
      <c r="P37" s="747"/>
      <c r="Q37" s="747"/>
      <c r="R37" s="747"/>
      <c r="S37" s="747"/>
      <c r="T37" s="747"/>
      <c r="U37" s="747"/>
      <c r="V37" s="747"/>
      <c r="W37" s="747"/>
      <c r="X37" s="747"/>
      <c r="Y37" s="747"/>
    </row>
    <row r="38" spans="2:25" ht="12" x14ac:dyDescent="0.15">
      <c r="B38" s="679" t="s">
        <v>174</v>
      </c>
      <c r="C38" s="690"/>
      <c r="D38" s="681"/>
      <c r="E38" s="680"/>
      <c r="F38" s="702"/>
      <c r="G38" s="703"/>
      <c r="H38" s="682"/>
      <c r="I38" s="747"/>
      <c r="J38" s="747"/>
      <c r="K38" s="747"/>
      <c r="L38" s="747"/>
      <c r="M38" s="747"/>
      <c r="N38" s="747"/>
      <c r="O38" s="747"/>
      <c r="P38" s="747"/>
      <c r="Q38" s="747"/>
      <c r="R38" s="747"/>
      <c r="S38" s="747"/>
      <c r="T38" s="747"/>
      <c r="U38" s="747"/>
      <c r="V38" s="747"/>
      <c r="W38" s="747"/>
      <c r="X38" s="747"/>
      <c r="Y38" s="747"/>
    </row>
    <row r="39" spans="2:25" ht="12" x14ac:dyDescent="0.15">
      <c r="B39" s="679" t="s">
        <v>175</v>
      </c>
      <c r="C39" s="690"/>
      <c r="D39" s="681"/>
      <c r="E39" s="680"/>
      <c r="F39" s="702"/>
      <c r="G39" s="703"/>
      <c r="H39" s="682"/>
      <c r="I39" s="747"/>
      <c r="J39" s="747"/>
      <c r="K39" s="747"/>
      <c r="L39" s="747"/>
      <c r="M39" s="747"/>
      <c r="N39" s="747"/>
      <c r="O39" s="747"/>
      <c r="P39" s="747"/>
      <c r="Q39" s="747"/>
      <c r="R39" s="747"/>
      <c r="S39" s="747"/>
      <c r="T39" s="747"/>
      <c r="U39" s="747"/>
      <c r="V39" s="747"/>
      <c r="W39" s="747"/>
      <c r="X39" s="747"/>
      <c r="Y39" s="747"/>
    </row>
    <row r="40" spans="2:25" ht="12" x14ac:dyDescent="0.15">
      <c r="B40" s="679" t="s">
        <v>185</v>
      </c>
      <c r="C40" s="690"/>
      <c r="D40" s="681"/>
      <c r="E40" s="680"/>
      <c r="F40" s="702"/>
      <c r="G40" s="703"/>
      <c r="H40" s="682"/>
      <c r="I40" s="747"/>
      <c r="J40" s="747"/>
      <c r="K40" s="747"/>
      <c r="L40" s="747"/>
      <c r="M40" s="747"/>
      <c r="N40" s="747"/>
      <c r="O40" s="747"/>
      <c r="P40" s="747"/>
      <c r="Q40" s="747"/>
      <c r="R40" s="747"/>
      <c r="S40" s="747"/>
      <c r="T40" s="747"/>
      <c r="U40" s="747"/>
      <c r="V40" s="747"/>
      <c r="W40" s="747"/>
      <c r="X40" s="747"/>
      <c r="Y40" s="747"/>
    </row>
    <row r="41" spans="2:25" ht="12" x14ac:dyDescent="0.15">
      <c r="B41" s="679"/>
      <c r="C41" s="686" t="s">
        <v>45</v>
      </c>
      <c r="D41" s="704" t="s">
        <v>46</v>
      </c>
      <c r="E41" s="694" t="s">
        <v>47</v>
      </c>
      <c r="F41" s="695"/>
      <c r="G41" s="695"/>
      <c r="H41" s="682"/>
      <c r="I41" s="747"/>
      <c r="J41" s="747"/>
      <c r="K41" s="747"/>
      <c r="L41" s="747"/>
      <c r="M41" s="747"/>
      <c r="N41" s="747"/>
      <c r="O41" s="747"/>
      <c r="P41" s="747"/>
      <c r="Q41" s="747"/>
      <c r="R41" s="747"/>
      <c r="S41" s="747"/>
      <c r="T41" s="747"/>
      <c r="U41" s="747"/>
      <c r="V41" s="747"/>
      <c r="W41" s="747"/>
      <c r="X41" s="747"/>
      <c r="Y41" s="747"/>
    </row>
    <row r="42" spans="2:25" ht="12" x14ac:dyDescent="0.15">
      <c r="B42" s="679" t="s">
        <v>48</v>
      </c>
      <c r="C42" s="690">
        <v>3</v>
      </c>
      <c r="D42" s="695"/>
      <c r="E42" s="695"/>
      <c r="F42" s="695"/>
      <c r="G42" s="695"/>
      <c r="H42" s="682"/>
      <c r="I42" s="747"/>
      <c r="J42" s="747"/>
      <c r="K42" s="747"/>
      <c r="L42" s="747"/>
      <c r="M42" s="747"/>
      <c r="N42" s="747"/>
      <c r="O42" s="747"/>
      <c r="P42" s="747"/>
      <c r="Q42" s="747"/>
      <c r="R42" s="747"/>
      <c r="S42" s="747"/>
      <c r="T42" s="747"/>
      <c r="U42" s="747"/>
      <c r="V42" s="747"/>
      <c r="W42" s="747"/>
      <c r="X42" s="747"/>
      <c r="Y42" s="747"/>
    </row>
    <row r="43" spans="2:25" ht="12" x14ac:dyDescent="0.15">
      <c r="B43" s="679" t="s">
        <v>176</v>
      </c>
      <c r="C43" s="690">
        <v>9</v>
      </c>
      <c r="D43" s="695"/>
      <c r="E43" s="695"/>
      <c r="F43" s="695"/>
      <c r="G43" s="695"/>
      <c r="H43" s="682"/>
      <c r="I43" s="747"/>
      <c r="J43" s="747"/>
      <c r="K43" s="747"/>
      <c r="L43" s="747"/>
      <c r="M43" s="747"/>
      <c r="N43" s="747"/>
      <c r="O43" s="747"/>
      <c r="P43" s="747"/>
      <c r="Q43" s="747"/>
      <c r="R43" s="747"/>
      <c r="S43" s="747"/>
      <c r="T43" s="747"/>
      <c r="U43" s="747"/>
      <c r="V43" s="747"/>
      <c r="W43" s="747"/>
      <c r="X43" s="747"/>
      <c r="Y43" s="747"/>
    </row>
    <row r="44" spans="2:25" ht="12" x14ac:dyDescent="0.15">
      <c r="B44" s="679"/>
      <c r="C44" s="693" t="s">
        <v>65</v>
      </c>
      <c r="D44" s="844" t="s">
        <v>4</v>
      </c>
      <c r="E44" s="845"/>
      <c r="F44" s="700" t="s">
        <v>40</v>
      </c>
      <c r="G44" s="701" t="s">
        <v>10</v>
      </c>
      <c r="H44" s="682" t="s">
        <v>474</v>
      </c>
      <c r="I44" s="747"/>
      <c r="J44" s="747"/>
      <c r="K44" s="747"/>
      <c r="L44" s="747"/>
      <c r="M44" s="747"/>
      <c r="N44" s="747"/>
      <c r="O44" s="747"/>
      <c r="P44" s="747"/>
      <c r="Q44" s="747"/>
      <c r="R44" s="747"/>
      <c r="S44" s="747"/>
      <c r="T44" s="747"/>
      <c r="U44" s="747"/>
      <c r="V44" s="747"/>
      <c r="W44" s="747"/>
      <c r="X44" s="747"/>
      <c r="Y44" s="747"/>
    </row>
    <row r="45" spans="2:25" ht="12" x14ac:dyDescent="0.15">
      <c r="B45" s="698" t="s">
        <v>55</v>
      </c>
      <c r="C45" s="690" t="e">
        <f>IF(#REF!&lt;10,"1", (IF(#REF!=10,"2",(IF(AND(#REF!&gt;=11,#REF!&lt;13),"3",(IF(AND(#REF!&gt;=13,#REF!&lt;15),"4",(IF(AND(#REF!&gt;=15,#REF!&lt;17),"5",(IF(AND(#REF!&gt;=17,#REF!&lt;20),"6",(IF(#REF!=20,"7",(IF(#REF!=21,"8",(IF(#REF!=22,"9",(IF(#REF!=23,"10","Null")))))))))))))))))))</f>
        <v>#REF!</v>
      </c>
      <c r="D45" s="846" t="e">
        <f>IF(#REF!&lt;10,"Impaired", (IF(#REF!=10,"Abnormal",(IF(AND(#REF!&gt;=11,#REF!&lt;13),"Poor",(IF(AND(#REF!&gt;=13,#REF!&lt;15),"Low Average",(IF(AND(#REF!&gt;=15,#REF!&lt;17),"Moderate Average",(IF(AND(#REF!&gt;=17,#REF!&lt;20),"Average",(IF(#REF!=20,"High Average",(IF(#REF!=21,"Good",(IF(#REF!=22,"Superior",(IF(#REF!=23,"Very Superior","Null")))))))))))))))))))</f>
        <v>#REF!</v>
      </c>
      <c r="E45" s="847"/>
      <c r="F45" s="705"/>
      <c r="G45" s="706"/>
      <c r="H45" s="682"/>
      <c r="I45" s="747"/>
      <c r="J45" s="747"/>
      <c r="K45" s="747"/>
      <c r="L45" s="747"/>
      <c r="M45" s="747"/>
      <c r="N45" s="747"/>
      <c r="O45" s="747"/>
      <c r="P45" s="747"/>
      <c r="Q45" s="747"/>
      <c r="R45" s="747"/>
      <c r="S45" s="747"/>
      <c r="T45" s="747"/>
      <c r="U45" s="747"/>
      <c r="V45" s="747"/>
      <c r="W45" s="747"/>
      <c r="X45" s="747"/>
      <c r="Y45" s="747"/>
    </row>
    <row r="46" spans="2:25" ht="40.75" customHeight="1" x14ac:dyDescent="0.15">
      <c r="B46" s="840" t="s">
        <v>744</v>
      </c>
      <c r="C46" s="841"/>
      <c r="D46" s="841"/>
      <c r="E46" s="841"/>
      <c r="F46" s="841"/>
      <c r="G46" s="841"/>
      <c r="H46" s="842"/>
      <c r="I46" s="747"/>
      <c r="J46" s="747"/>
      <c r="K46" s="747"/>
      <c r="L46" s="747"/>
      <c r="M46" s="747"/>
      <c r="N46" s="747"/>
      <c r="O46" s="747"/>
      <c r="P46" s="747"/>
      <c r="Q46" s="747"/>
      <c r="R46" s="747"/>
      <c r="S46" s="747"/>
      <c r="T46" s="747"/>
      <c r="U46" s="747"/>
      <c r="V46" s="747"/>
      <c r="W46" s="747"/>
      <c r="X46" s="747"/>
      <c r="Y46" s="747"/>
    </row>
    <row r="47" spans="2:25" x14ac:dyDescent="0.15">
      <c r="B47" s="747"/>
      <c r="C47" s="747"/>
      <c r="D47" s="747"/>
      <c r="E47" s="747"/>
      <c r="F47" s="747"/>
      <c r="G47" s="747"/>
      <c r="H47" s="747"/>
      <c r="I47" s="747"/>
      <c r="J47" s="747"/>
      <c r="K47" s="747"/>
      <c r="L47" s="747"/>
      <c r="M47" s="747"/>
      <c r="N47" s="747"/>
      <c r="O47" s="747"/>
      <c r="P47" s="747"/>
      <c r="Q47" s="747"/>
      <c r="R47" s="747"/>
      <c r="S47" s="747"/>
      <c r="T47" s="747"/>
      <c r="U47" s="747"/>
      <c r="V47" s="747"/>
      <c r="W47" s="747"/>
      <c r="X47" s="747"/>
      <c r="Y47" s="747"/>
    </row>
    <row r="48" spans="2:25" x14ac:dyDescent="0.15">
      <c r="B48" s="747"/>
      <c r="C48" s="747"/>
      <c r="D48" s="747"/>
      <c r="E48" s="747"/>
      <c r="F48" s="747"/>
      <c r="G48" s="747"/>
      <c r="H48" s="747"/>
      <c r="I48" s="747"/>
      <c r="J48" s="747"/>
      <c r="K48" s="747"/>
      <c r="L48" s="747"/>
      <c r="M48" s="747"/>
      <c r="N48" s="747"/>
      <c r="O48" s="747"/>
      <c r="P48" s="747"/>
      <c r="Q48" s="747"/>
      <c r="R48" s="747"/>
      <c r="S48" s="747"/>
      <c r="T48" s="747"/>
      <c r="U48" s="747"/>
      <c r="V48" s="747"/>
      <c r="W48" s="747"/>
      <c r="X48" s="747"/>
      <c r="Y48" s="747"/>
    </row>
    <row r="49" spans="2:25" x14ac:dyDescent="0.15">
      <c r="B49" s="747"/>
      <c r="C49" s="747"/>
      <c r="D49" s="747"/>
      <c r="E49" s="747"/>
      <c r="F49" s="747"/>
      <c r="G49" s="747"/>
      <c r="H49" s="747"/>
      <c r="I49" s="747"/>
      <c r="J49" s="747"/>
      <c r="K49" s="747"/>
      <c r="L49" s="747"/>
      <c r="M49" s="747"/>
      <c r="N49" s="747"/>
      <c r="O49" s="747"/>
      <c r="P49" s="747"/>
      <c r="Q49" s="747"/>
      <c r="R49" s="747"/>
      <c r="S49" s="747"/>
      <c r="T49" s="747"/>
      <c r="U49" s="747"/>
      <c r="V49" s="747"/>
      <c r="W49" s="747"/>
      <c r="X49" s="747"/>
      <c r="Y49" s="747"/>
    </row>
    <row r="50" spans="2:25" x14ac:dyDescent="0.15">
      <c r="B50" s="747"/>
      <c r="C50" s="747"/>
      <c r="D50" s="747"/>
      <c r="E50" s="747"/>
      <c r="F50" s="747"/>
      <c r="G50" s="747"/>
      <c r="H50" s="747"/>
      <c r="I50" s="747"/>
      <c r="J50" s="747"/>
      <c r="K50" s="747"/>
      <c r="L50" s="747"/>
      <c r="M50" s="747"/>
      <c r="N50" s="747"/>
      <c r="O50" s="747"/>
      <c r="P50" s="747"/>
      <c r="Q50" s="747"/>
      <c r="R50" s="747"/>
      <c r="S50" s="747"/>
      <c r="T50" s="747"/>
      <c r="U50" s="747"/>
      <c r="V50" s="747"/>
      <c r="W50" s="747"/>
      <c r="X50" s="747"/>
      <c r="Y50" s="747"/>
    </row>
    <row r="51" spans="2:25" x14ac:dyDescent="0.15">
      <c r="B51" s="747"/>
      <c r="C51" s="747"/>
      <c r="D51" s="747"/>
      <c r="E51" s="747"/>
      <c r="F51" s="747"/>
      <c r="G51" s="747"/>
      <c r="H51" s="747"/>
      <c r="I51" s="747"/>
      <c r="J51" s="747"/>
      <c r="K51" s="747"/>
      <c r="L51" s="747"/>
      <c r="M51" s="747"/>
      <c r="N51" s="747"/>
      <c r="O51" s="747"/>
      <c r="P51" s="747"/>
      <c r="Q51" s="747"/>
      <c r="R51" s="747"/>
      <c r="S51" s="747"/>
      <c r="T51" s="747"/>
      <c r="U51" s="747"/>
      <c r="V51" s="747"/>
      <c r="W51" s="747"/>
      <c r="X51" s="747"/>
      <c r="Y51" s="747"/>
    </row>
    <row r="52" spans="2:25" x14ac:dyDescent="0.15">
      <c r="B52" s="747"/>
      <c r="C52" s="747"/>
      <c r="D52" s="747"/>
      <c r="E52" s="747"/>
      <c r="F52" s="747"/>
      <c r="G52" s="747"/>
      <c r="H52" s="747"/>
      <c r="I52" s="747"/>
      <c r="J52" s="747"/>
      <c r="K52" s="747"/>
      <c r="L52" s="747"/>
      <c r="M52" s="747"/>
      <c r="N52" s="747"/>
      <c r="O52" s="747"/>
      <c r="P52" s="747"/>
      <c r="Q52" s="747"/>
      <c r="R52" s="747"/>
      <c r="S52" s="747"/>
      <c r="T52" s="747"/>
      <c r="U52" s="747"/>
      <c r="V52" s="747"/>
      <c r="W52" s="747"/>
      <c r="X52" s="747"/>
      <c r="Y52" s="747"/>
    </row>
    <row r="53" spans="2:25" x14ac:dyDescent="0.15">
      <c r="B53" s="747"/>
      <c r="C53" s="747"/>
      <c r="D53" s="747"/>
      <c r="E53" s="747"/>
      <c r="F53" s="747"/>
      <c r="G53" s="747"/>
      <c r="H53" s="747"/>
      <c r="I53" s="747"/>
      <c r="J53" s="747"/>
      <c r="K53" s="747"/>
      <c r="L53" s="747"/>
      <c r="M53" s="747"/>
      <c r="N53" s="747"/>
      <c r="O53" s="747"/>
      <c r="P53" s="747"/>
      <c r="Q53" s="747"/>
      <c r="R53" s="747"/>
      <c r="S53" s="747"/>
      <c r="T53" s="747"/>
      <c r="U53" s="747"/>
      <c r="V53" s="747"/>
      <c r="W53" s="747"/>
      <c r="X53" s="747"/>
      <c r="Y53" s="747"/>
    </row>
    <row r="54" spans="2:25" x14ac:dyDescent="0.15">
      <c r="B54" s="747"/>
      <c r="C54" s="747"/>
      <c r="D54" s="747"/>
      <c r="E54" s="747"/>
      <c r="F54" s="747"/>
      <c r="G54" s="747"/>
      <c r="H54" s="747"/>
      <c r="I54" s="747"/>
      <c r="J54" s="747"/>
      <c r="K54" s="747"/>
      <c r="L54" s="747"/>
      <c r="M54" s="747"/>
      <c r="N54" s="747"/>
      <c r="O54" s="747"/>
      <c r="P54" s="747"/>
      <c r="Q54" s="747"/>
      <c r="R54" s="747"/>
      <c r="S54" s="747"/>
      <c r="T54" s="747"/>
      <c r="U54" s="747"/>
      <c r="V54" s="747"/>
      <c r="W54" s="747"/>
      <c r="X54" s="747"/>
      <c r="Y54" s="747"/>
    </row>
    <row r="55" spans="2:25" x14ac:dyDescent="0.15">
      <c r="B55" s="747"/>
      <c r="C55" s="747"/>
      <c r="D55" s="747"/>
      <c r="E55" s="747"/>
      <c r="F55" s="747"/>
      <c r="G55" s="747"/>
      <c r="H55" s="747"/>
      <c r="I55" s="747"/>
      <c r="J55" s="747"/>
      <c r="K55" s="747"/>
      <c r="L55" s="747"/>
      <c r="M55" s="747"/>
      <c r="N55" s="747"/>
      <c r="O55" s="747"/>
      <c r="P55" s="747"/>
      <c r="Q55" s="747"/>
      <c r="R55" s="747"/>
      <c r="S55" s="747"/>
      <c r="T55" s="747"/>
      <c r="U55" s="747"/>
      <c r="V55" s="747"/>
      <c r="W55" s="747"/>
      <c r="X55" s="747"/>
      <c r="Y55" s="747"/>
    </row>
    <row r="56" spans="2:25" x14ac:dyDescent="0.15">
      <c r="B56" s="747"/>
      <c r="C56" s="747"/>
      <c r="D56" s="747"/>
      <c r="E56" s="747"/>
      <c r="F56" s="747"/>
      <c r="G56" s="747"/>
      <c r="H56" s="747"/>
      <c r="I56" s="747"/>
      <c r="J56" s="747"/>
      <c r="K56" s="747"/>
      <c r="L56" s="747"/>
      <c r="M56" s="747"/>
      <c r="N56" s="747"/>
      <c r="O56" s="747"/>
      <c r="P56" s="747"/>
      <c r="Q56" s="747"/>
      <c r="R56" s="747"/>
      <c r="S56" s="747"/>
      <c r="T56" s="747"/>
      <c r="U56" s="747"/>
      <c r="V56" s="747"/>
      <c r="W56" s="747"/>
      <c r="X56" s="747"/>
      <c r="Y56" s="747"/>
    </row>
    <row r="57" spans="2:25" x14ac:dyDescent="0.15">
      <c r="B57" s="747"/>
      <c r="C57" s="747"/>
      <c r="D57" s="747"/>
      <c r="E57" s="747"/>
      <c r="F57" s="747"/>
      <c r="G57" s="747"/>
      <c r="H57" s="747"/>
      <c r="I57" s="747"/>
      <c r="J57" s="747"/>
      <c r="K57" s="747"/>
      <c r="L57" s="747"/>
      <c r="M57" s="747"/>
      <c r="N57" s="747"/>
      <c r="O57" s="747"/>
      <c r="P57" s="747"/>
      <c r="Q57" s="747"/>
      <c r="R57" s="747"/>
      <c r="S57" s="747"/>
      <c r="T57" s="747"/>
      <c r="U57" s="747"/>
      <c r="V57" s="747"/>
      <c r="W57" s="747"/>
      <c r="X57" s="747"/>
      <c r="Y57" s="747"/>
    </row>
    <row r="58" spans="2:25" x14ac:dyDescent="0.15">
      <c r="B58" s="747"/>
      <c r="C58" s="747"/>
      <c r="D58" s="747"/>
      <c r="E58" s="747"/>
      <c r="F58" s="747"/>
      <c r="G58" s="747"/>
      <c r="H58" s="747"/>
      <c r="I58" s="747"/>
      <c r="J58" s="747"/>
      <c r="K58" s="747"/>
      <c r="L58" s="747"/>
      <c r="M58" s="747"/>
      <c r="N58" s="747"/>
      <c r="O58" s="747"/>
      <c r="P58" s="747"/>
      <c r="Q58" s="747"/>
      <c r="R58" s="747"/>
      <c r="S58" s="747"/>
      <c r="T58" s="747"/>
      <c r="U58" s="747"/>
      <c r="V58" s="747"/>
      <c r="W58" s="747"/>
      <c r="X58" s="747"/>
      <c r="Y58" s="747"/>
    </row>
    <row r="59" spans="2:25" x14ac:dyDescent="0.15">
      <c r="B59" s="747"/>
      <c r="C59" s="747"/>
      <c r="D59" s="747"/>
      <c r="E59" s="747"/>
      <c r="F59" s="747"/>
      <c r="G59" s="747"/>
      <c r="H59" s="747"/>
      <c r="I59" s="747"/>
      <c r="J59" s="747"/>
      <c r="K59" s="747"/>
      <c r="L59" s="747"/>
      <c r="M59" s="747"/>
      <c r="N59" s="747"/>
      <c r="O59" s="747"/>
      <c r="P59" s="747"/>
      <c r="Q59" s="747"/>
      <c r="R59" s="747"/>
      <c r="S59" s="747"/>
      <c r="T59" s="747"/>
      <c r="U59" s="747"/>
      <c r="V59" s="747"/>
      <c r="W59" s="747"/>
      <c r="X59" s="747"/>
      <c r="Y59" s="747"/>
    </row>
    <row r="60" spans="2:25" x14ac:dyDescent="0.15">
      <c r="B60" s="747"/>
      <c r="C60" s="747"/>
      <c r="D60" s="747"/>
      <c r="E60" s="747"/>
      <c r="F60" s="747"/>
      <c r="G60" s="747"/>
      <c r="H60" s="747"/>
      <c r="I60" s="747"/>
      <c r="J60" s="747"/>
      <c r="K60" s="747"/>
      <c r="L60" s="747"/>
      <c r="M60" s="747"/>
      <c r="N60" s="747"/>
      <c r="O60" s="747"/>
      <c r="P60" s="747"/>
      <c r="Q60" s="747"/>
      <c r="R60" s="747"/>
      <c r="S60" s="747"/>
      <c r="T60" s="747"/>
      <c r="U60" s="747"/>
      <c r="V60" s="747"/>
      <c r="W60" s="747"/>
      <c r="X60" s="747"/>
      <c r="Y60" s="747"/>
    </row>
    <row r="61" spans="2:25" x14ac:dyDescent="0.15">
      <c r="B61" s="747"/>
      <c r="C61" s="747"/>
      <c r="D61" s="747"/>
      <c r="E61" s="747"/>
      <c r="F61" s="747"/>
      <c r="G61" s="747"/>
      <c r="H61" s="747"/>
      <c r="I61" s="747"/>
      <c r="J61" s="747"/>
      <c r="K61" s="747"/>
      <c r="L61" s="747"/>
      <c r="M61" s="747"/>
      <c r="N61" s="747"/>
      <c r="O61" s="747"/>
      <c r="P61" s="747"/>
      <c r="Q61" s="747"/>
      <c r="R61" s="747"/>
      <c r="S61" s="747"/>
      <c r="T61" s="747"/>
      <c r="U61" s="747"/>
      <c r="V61" s="747"/>
      <c r="W61" s="747"/>
      <c r="X61" s="747"/>
      <c r="Y61" s="747"/>
    </row>
    <row r="62" spans="2:25" x14ac:dyDescent="0.15">
      <c r="B62" s="747"/>
      <c r="C62" s="747"/>
      <c r="D62" s="747"/>
      <c r="E62" s="747"/>
      <c r="F62" s="747"/>
      <c r="G62" s="747"/>
      <c r="H62" s="747"/>
      <c r="I62" s="747"/>
      <c r="J62" s="747"/>
      <c r="K62" s="747"/>
      <c r="L62" s="747"/>
      <c r="M62" s="747"/>
      <c r="N62" s="747"/>
      <c r="O62" s="747"/>
      <c r="P62" s="747"/>
      <c r="Q62" s="747"/>
      <c r="R62" s="747"/>
      <c r="S62" s="747"/>
      <c r="T62" s="747"/>
      <c r="U62" s="747"/>
      <c r="V62" s="747"/>
      <c r="W62" s="747"/>
      <c r="X62" s="747"/>
      <c r="Y62" s="747"/>
    </row>
    <row r="63" spans="2:25" x14ac:dyDescent="0.15">
      <c r="B63" s="747"/>
      <c r="C63" s="747"/>
      <c r="D63" s="747"/>
      <c r="E63" s="747"/>
      <c r="F63" s="747"/>
      <c r="G63" s="747"/>
      <c r="H63" s="747"/>
      <c r="I63" s="747"/>
      <c r="J63" s="747"/>
      <c r="K63" s="747"/>
      <c r="L63" s="747"/>
      <c r="M63" s="747"/>
      <c r="N63" s="747"/>
      <c r="O63" s="747"/>
      <c r="P63" s="747"/>
      <c r="Q63" s="747"/>
      <c r="R63" s="747"/>
      <c r="S63" s="747"/>
      <c r="T63" s="747"/>
      <c r="U63" s="747"/>
      <c r="V63" s="747"/>
      <c r="W63" s="747"/>
      <c r="X63" s="747"/>
      <c r="Y63" s="747"/>
    </row>
    <row r="64" spans="2:25" x14ac:dyDescent="0.15">
      <c r="B64" s="747"/>
      <c r="C64" s="747"/>
      <c r="D64" s="747"/>
      <c r="E64" s="747"/>
      <c r="F64" s="747"/>
      <c r="G64" s="747"/>
      <c r="H64" s="747"/>
      <c r="I64" s="747"/>
      <c r="J64" s="747"/>
      <c r="K64" s="747"/>
      <c r="L64" s="747"/>
      <c r="M64" s="747"/>
      <c r="N64" s="747"/>
      <c r="O64" s="747"/>
      <c r="P64" s="747"/>
      <c r="Q64" s="747"/>
      <c r="R64" s="747"/>
      <c r="S64" s="747"/>
      <c r="T64" s="747"/>
      <c r="U64" s="747"/>
      <c r="V64" s="747"/>
      <c r="W64" s="747"/>
      <c r="X64" s="747"/>
      <c r="Y64" s="747"/>
    </row>
    <row r="65" spans="2:25" x14ac:dyDescent="0.15">
      <c r="B65" s="747"/>
      <c r="C65" s="747"/>
      <c r="D65" s="747"/>
      <c r="E65" s="747"/>
      <c r="F65" s="747"/>
      <c r="G65" s="747"/>
      <c r="H65" s="747"/>
      <c r="I65" s="747"/>
      <c r="J65" s="747"/>
      <c r="K65" s="747"/>
      <c r="L65" s="747"/>
      <c r="M65" s="747"/>
      <c r="N65" s="747"/>
      <c r="O65" s="747"/>
      <c r="P65" s="747"/>
      <c r="Q65" s="747"/>
      <c r="R65" s="747"/>
      <c r="S65" s="747"/>
      <c r="T65" s="747"/>
      <c r="U65" s="747"/>
      <c r="V65" s="747"/>
      <c r="W65" s="747"/>
      <c r="X65" s="747"/>
      <c r="Y65" s="747"/>
    </row>
    <row r="66" spans="2:25" x14ac:dyDescent="0.15">
      <c r="B66" s="747"/>
      <c r="C66" s="747"/>
      <c r="D66" s="747"/>
      <c r="E66" s="747"/>
      <c r="F66" s="747"/>
      <c r="G66" s="747"/>
      <c r="H66" s="747"/>
      <c r="I66" s="747"/>
      <c r="J66" s="747"/>
      <c r="K66" s="747"/>
      <c r="L66" s="747"/>
      <c r="M66" s="747"/>
      <c r="N66" s="747"/>
      <c r="O66" s="747"/>
      <c r="P66" s="747"/>
      <c r="Q66" s="747"/>
      <c r="R66" s="747"/>
      <c r="S66" s="747"/>
      <c r="T66" s="747"/>
      <c r="U66" s="747"/>
      <c r="V66" s="747"/>
      <c r="W66" s="747"/>
      <c r="X66" s="747"/>
      <c r="Y66" s="747"/>
    </row>
    <row r="67" spans="2:25" x14ac:dyDescent="0.15">
      <c r="B67" s="747"/>
      <c r="C67" s="747"/>
      <c r="D67" s="747"/>
      <c r="E67" s="747"/>
      <c r="F67" s="747"/>
      <c r="G67" s="747"/>
      <c r="H67" s="747"/>
      <c r="I67" s="747"/>
      <c r="J67" s="747"/>
      <c r="K67" s="747"/>
      <c r="L67" s="747"/>
      <c r="M67" s="747"/>
      <c r="N67" s="747"/>
      <c r="O67" s="747"/>
      <c r="P67" s="747"/>
      <c r="Q67" s="747"/>
      <c r="R67" s="747"/>
      <c r="S67" s="747"/>
      <c r="T67" s="747"/>
      <c r="U67" s="747"/>
      <c r="V67" s="747"/>
      <c r="W67" s="747"/>
      <c r="X67" s="747"/>
      <c r="Y67" s="747"/>
    </row>
    <row r="68" spans="2:25" x14ac:dyDescent="0.15">
      <c r="B68" s="747"/>
      <c r="C68" s="747"/>
      <c r="D68" s="747"/>
      <c r="E68" s="747"/>
      <c r="F68" s="747"/>
      <c r="G68" s="747"/>
      <c r="H68" s="747"/>
      <c r="I68" s="747"/>
      <c r="J68" s="747"/>
      <c r="K68" s="747"/>
      <c r="L68" s="747"/>
      <c r="M68" s="747"/>
      <c r="N68" s="747"/>
      <c r="O68" s="747"/>
      <c r="P68" s="747"/>
      <c r="Q68" s="747"/>
      <c r="R68" s="747"/>
      <c r="S68" s="747"/>
      <c r="T68" s="747"/>
      <c r="U68" s="747"/>
      <c r="V68" s="747"/>
      <c r="W68" s="747"/>
      <c r="X68" s="747"/>
      <c r="Y68" s="747"/>
    </row>
    <row r="69" spans="2:25" x14ac:dyDescent="0.15">
      <c r="B69" s="747"/>
      <c r="C69" s="747"/>
      <c r="D69" s="747"/>
      <c r="E69" s="747"/>
      <c r="F69" s="747"/>
      <c r="G69" s="747"/>
      <c r="H69" s="747"/>
      <c r="I69" s="747"/>
      <c r="J69" s="747"/>
      <c r="K69" s="747"/>
      <c r="L69" s="747"/>
      <c r="M69" s="747"/>
      <c r="N69" s="747"/>
      <c r="O69" s="747"/>
      <c r="P69" s="747"/>
      <c r="Q69" s="747"/>
      <c r="R69" s="747"/>
      <c r="S69" s="747"/>
      <c r="T69" s="747"/>
      <c r="U69" s="747"/>
      <c r="V69" s="747"/>
      <c r="W69" s="747"/>
      <c r="X69" s="747"/>
      <c r="Y69" s="747"/>
    </row>
    <row r="70" spans="2:25" x14ac:dyDescent="0.15">
      <c r="B70" s="747"/>
      <c r="C70" s="747"/>
      <c r="D70" s="747"/>
      <c r="E70" s="747"/>
      <c r="F70" s="747"/>
      <c r="G70" s="747"/>
      <c r="H70" s="747"/>
      <c r="I70" s="747"/>
      <c r="J70" s="747"/>
      <c r="K70" s="747"/>
      <c r="L70" s="747"/>
      <c r="M70" s="747"/>
      <c r="N70" s="747"/>
      <c r="O70" s="747"/>
      <c r="P70" s="747"/>
      <c r="Q70" s="747"/>
      <c r="R70" s="747"/>
      <c r="S70" s="747"/>
      <c r="T70" s="747"/>
      <c r="U70" s="747"/>
      <c r="V70" s="747"/>
      <c r="W70" s="747"/>
      <c r="X70" s="747"/>
      <c r="Y70" s="747"/>
    </row>
    <row r="71" spans="2:25" x14ac:dyDescent="0.15">
      <c r="B71" s="747"/>
      <c r="C71" s="747"/>
      <c r="D71" s="747"/>
      <c r="E71" s="747"/>
      <c r="F71" s="747"/>
      <c r="G71" s="747"/>
      <c r="H71" s="747"/>
      <c r="I71" s="747"/>
      <c r="J71" s="747"/>
      <c r="K71" s="747"/>
      <c r="L71" s="747"/>
      <c r="M71" s="747"/>
      <c r="N71" s="747"/>
      <c r="O71" s="747"/>
      <c r="P71" s="747"/>
      <c r="Q71" s="747"/>
      <c r="R71" s="747"/>
      <c r="S71" s="747"/>
      <c r="T71" s="747"/>
      <c r="U71" s="747"/>
      <c r="V71" s="747"/>
      <c r="W71" s="747"/>
      <c r="X71" s="747"/>
      <c r="Y71" s="747"/>
    </row>
    <row r="72" spans="2:25" x14ac:dyDescent="0.15">
      <c r="B72" s="747"/>
      <c r="C72" s="747"/>
      <c r="D72" s="747"/>
      <c r="E72" s="747"/>
      <c r="F72" s="747"/>
      <c r="G72" s="747"/>
      <c r="H72" s="747"/>
      <c r="I72" s="747"/>
      <c r="J72" s="747"/>
      <c r="K72" s="747"/>
      <c r="L72" s="747"/>
      <c r="M72" s="747"/>
      <c r="N72" s="747"/>
      <c r="O72" s="747"/>
      <c r="P72" s="747"/>
      <c r="Q72" s="747"/>
      <c r="R72" s="747"/>
      <c r="S72" s="747"/>
      <c r="T72" s="747"/>
      <c r="U72" s="747"/>
      <c r="V72" s="747"/>
      <c r="W72" s="747"/>
      <c r="X72" s="747"/>
      <c r="Y72" s="747"/>
    </row>
    <row r="73" spans="2:25" x14ac:dyDescent="0.15">
      <c r="B73" s="747"/>
      <c r="C73" s="747"/>
      <c r="D73" s="747"/>
      <c r="E73" s="747"/>
      <c r="F73" s="747"/>
      <c r="G73" s="747"/>
      <c r="H73" s="747"/>
      <c r="I73" s="747"/>
      <c r="J73" s="747"/>
      <c r="K73" s="747"/>
      <c r="L73" s="747"/>
      <c r="M73" s="747"/>
      <c r="N73" s="747"/>
      <c r="O73" s="747"/>
      <c r="P73" s="747"/>
      <c r="Q73" s="747"/>
      <c r="R73" s="747"/>
      <c r="S73" s="747"/>
      <c r="T73" s="747"/>
      <c r="U73" s="747"/>
      <c r="V73" s="747"/>
      <c r="W73" s="747"/>
      <c r="X73" s="747"/>
      <c r="Y73" s="747"/>
    </row>
    <row r="74" spans="2:25" x14ac:dyDescent="0.15">
      <c r="B74" s="747"/>
      <c r="C74" s="747"/>
      <c r="D74" s="747"/>
      <c r="E74" s="747"/>
      <c r="F74" s="747"/>
      <c r="G74" s="747"/>
      <c r="H74" s="747"/>
      <c r="I74" s="747"/>
      <c r="J74" s="747"/>
      <c r="K74" s="747"/>
      <c r="L74" s="747"/>
      <c r="M74" s="747"/>
      <c r="N74" s="747"/>
      <c r="O74" s="747"/>
      <c r="P74" s="747"/>
      <c r="Q74" s="747"/>
      <c r="R74" s="747"/>
      <c r="S74" s="747"/>
      <c r="T74" s="747"/>
      <c r="U74" s="747"/>
      <c r="V74" s="747"/>
      <c r="W74" s="747"/>
      <c r="X74" s="747"/>
      <c r="Y74" s="747"/>
    </row>
    <row r="75" spans="2:25" x14ac:dyDescent="0.15">
      <c r="B75" s="747"/>
      <c r="C75" s="747"/>
      <c r="D75" s="747"/>
      <c r="E75" s="747"/>
      <c r="F75" s="747"/>
      <c r="G75" s="747"/>
      <c r="H75" s="747"/>
      <c r="I75" s="747"/>
      <c r="J75" s="747"/>
      <c r="K75" s="747"/>
      <c r="L75" s="747"/>
      <c r="M75" s="747"/>
      <c r="N75" s="747"/>
      <c r="O75" s="747"/>
      <c r="P75" s="747"/>
      <c r="Q75" s="747"/>
      <c r="R75" s="747"/>
      <c r="S75" s="747"/>
      <c r="T75" s="747"/>
      <c r="U75" s="747"/>
      <c r="V75" s="747"/>
      <c r="W75" s="747"/>
      <c r="X75" s="747"/>
      <c r="Y75" s="747"/>
    </row>
    <row r="76" spans="2:25" x14ac:dyDescent="0.15">
      <c r="B76" s="747"/>
      <c r="C76" s="747"/>
      <c r="D76" s="747"/>
      <c r="E76" s="747"/>
      <c r="F76" s="747"/>
      <c r="G76" s="747"/>
      <c r="H76" s="747"/>
      <c r="I76" s="747"/>
      <c r="J76" s="747"/>
      <c r="K76" s="747"/>
      <c r="L76" s="747"/>
      <c r="M76" s="747"/>
      <c r="N76" s="747"/>
      <c r="O76" s="747"/>
      <c r="P76" s="747"/>
      <c r="Q76" s="747"/>
      <c r="R76" s="747"/>
      <c r="S76" s="747"/>
      <c r="T76" s="747"/>
      <c r="U76" s="747"/>
      <c r="V76" s="747"/>
      <c r="W76" s="747"/>
      <c r="X76" s="747"/>
      <c r="Y76" s="747"/>
    </row>
    <row r="77" spans="2:25" x14ac:dyDescent="0.15">
      <c r="B77" s="747"/>
      <c r="C77" s="747"/>
      <c r="D77" s="747"/>
      <c r="E77" s="747"/>
      <c r="F77" s="747"/>
      <c r="G77" s="747"/>
      <c r="H77" s="747"/>
      <c r="I77" s="747"/>
      <c r="J77" s="747"/>
      <c r="K77" s="747"/>
      <c r="L77" s="747"/>
      <c r="M77" s="747"/>
      <c r="N77" s="747"/>
      <c r="O77" s="747"/>
      <c r="P77" s="747"/>
      <c r="Q77" s="747"/>
      <c r="R77" s="747"/>
      <c r="S77" s="747"/>
      <c r="T77" s="747"/>
      <c r="U77" s="747"/>
      <c r="V77" s="747"/>
      <c r="W77" s="747"/>
      <c r="X77" s="747"/>
      <c r="Y77" s="747"/>
    </row>
    <row r="78" spans="2:25" x14ac:dyDescent="0.15">
      <c r="B78" s="747"/>
      <c r="C78" s="747"/>
      <c r="D78" s="747"/>
      <c r="E78" s="747"/>
      <c r="F78" s="747"/>
      <c r="G78" s="747"/>
      <c r="H78" s="747"/>
      <c r="I78" s="747"/>
      <c r="J78" s="747"/>
      <c r="K78" s="747"/>
      <c r="L78" s="747"/>
      <c r="M78" s="747"/>
      <c r="N78" s="747"/>
      <c r="O78" s="747"/>
      <c r="P78" s="747"/>
      <c r="Q78" s="747"/>
      <c r="R78" s="747"/>
      <c r="S78" s="747"/>
      <c r="T78" s="747"/>
      <c r="U78" s="747"/>
      <c r="V78" s="747"/>
      <c r="W78" s="747"/>
      <c r="X78" s="747"/>
      <c r="Y78" s="747"/>
    </row>
    <row r="79" spans="2:25" x14ac:dyDescent="0.15">
      <c r="B79" s="747"/>
      <c r="C79" s="747"/>
      <c r="D79" s="747"/>
      <c r="E79" s="747"/>
      <c r="F79" s="747"/>
      <c r="G79" s="747"/>
      <c r="H79" s="747"/>
      <c r="I79" s="747"/>
      <c r="J79" s="747"/>
      <c r="K79" s="747"/>
      <c r="L79" s="747"/>
      <c r="M79" s="747"/>
      <c r="N79" s="747"/>
      <c r="O79" s="747"/>
      <c r="P79" s="747"/>
      <c r="Q79" s="747"/>
      <c r="R79" s="747"/>
      <c r="S79" s="747"/>
      <c r="T79" s="747"/>
      <c r="U79" s="747"/>
      <c r="V79" s="747"/>
      <c r="W79" s="747"/>
      <c r="X79" s="747"/>
      <c r="Y79" s="747"/>
    </row>
    <row r="80" spans="2:25" x14ac:dyDescent="0.15">
      <c r="B80" s="747"/>
      <c r="C80" s="747"/>
      <c r="D80" s="747"/>
      <c r="E80" s="747"/>
      <c r="F80" s="747"/>
      <c r="G80" s="747"/>
      <c r="H80" s="747"/>
      <c r="I80" s="747"/>
      <c r="J80" s="747"/>
      <c r="K80" s="747"/>
      <c r="L80" s="747"/>
      <c r="M80" s="747"/>
      <c r="N80" s="747"/>
      <c r="O80" s="747"/>
      <c r="P80" s="747"/>
      <c r="Q80" s="747"/>
      <c r="R80" s="747"/>
      <c r="S80" s="747"/>
      <c r="T80" s="747"/>
      <c r="U80" s="747"/>
      <c r="V80" s="747"/>
      <c r="W80" s="747"/>
      <c r="X80" s="747"/>
      <c r="Y80" s="747"/>
    </row>
    <row r="81" spans="2:25" x14ac:dyDescent="0.15">
      <c r="B81" s="747"/>
      <c r="C81" s="747"/>
      <c r="D81" s="747"/>
      <c r="E81" s="747"/>
      <c r="F81" s="747"/>
      <c r="G81" s="747"/>
      <c r="H81" s="747"/>
      <c r="I81" s="747"/>
      <c r="J81" s="747"/>
      <c r="K81" s="747"/>
      <c r="L81" s="747"/>
      <c r="M81" s="747"/>
      <c r="N81" s="747"/>
      <c r="O81" s="747"/>
      <c r="P81" s="747"/>
      <c r="Q81" s="747"/>
      <c r="R81" s="747"/>
      <c r="S81" s="747"/>
      <c r="T81" s="747"/>
      <c r="U81" s="747"/>
      <c r="V81" s="747"/>
      <c r="W81" s="747"/>
      <c r="X81" s="747"/>
      <c r="Y81" s="747"/>
    </row>
    <row r="82" spans="2:25" x14ac:dyDescent="0.15">
      <c r="B82" s="747"/>
      <c r="C82" s="747"/>
      <c r="D82" s="747"/>
      <c r="E82" s="747"/>
      <c r="F82" s="747"/>
      <c r="G82" s="747"/>
      <c r="H82" s="747"/>
      <c r="I82" s="747"/>
      <c r="J82" s="747"/>
      <c r="K82" s="747"/>
      <c r="L82" s="747"/>
      <c r="M82" s="747"/>
      <c r="N82" s="747"/>
      <c r="O82" s="747"/>
      <c r="P82" s="747"/>
      <c r="Q82" s="747"/>
      <c r="R82" s="747"/>
      <c r="S82" s="747"/>
      <c r="T82" s="747"/>
      <c r="U82" s="747"/>
      <c r="V82" s="747"/>
      <c r="W82" s="747"/>
      <c r="X82" s="747"/>
      <c r="Y82" s="747"/>
    </row>
    <row r="83" spans="2:25" x14ac:dyDescent="0.15">
      <c r="B83" s="747"/>
      <c r="C83" s="747"/>
      <c r="D83" s="747"/>
      <c r="E83" s="747"/>
      <c r="F83" s="747"/>
      <c r="G83" s="747"/>
      <c r="H83" s="747"/>
      <c r="I83" s="747"/>
      <c r="J83" s="747"/>
      <c r="K83" s="747"/>
      <c r="L83" s="747"/>
      <c r="M83" s="747"/>
      <c r="N83" s="747"/>
      <c r="O83" s="747"/>
      <c r="P83" s="747"/>
      <c r="Q83" s="747"/>
      <c r="R83" s="747"/>
      <c r="S83" s="747"/>
      <c r="T83" s="747"/>
      <c r="U83" s="747"/>
      <c r="V83" s="747"/>
      <c r="W83" s="747"/>
      <c r="X83" s="747"/>
      <c r="Y83" s="747"/>
    </row>
    <row r="84" spans="2:25" x14ac:dyDescent="0.15">
      <c r="B84" s="747"/>
      <c r="C84" s="747"/>
      <c r="D84" s="747"/>
      <c r="E84" s="747"/>
      <c r="F84" s="747"/>
      <c r="G84" s="747"/>
      <c r="H84" s="747"/>
      <c r="I84" s="747"/>
      <c r="J84" s="747"/>
      <c r="K84" s="747"/>
      <c r="L84" s="747"/>
      <c r="M84" s="747"/>
      <c r="N84" s="747"/>
      <c r="O84" s="747"/>
      <c r="P84" s="747"/>
      <c r="Q84" s="747"/>
      <c r="R84" s="747"/>
      <c r="S84" s="747"/>
      <c r="T84" s="747"/>
      <c r="U84" s="747"/>
      <c r="V84" s="747"/>
      <c r="W84" s="747"/>
      <c r="X84" s="747"/>
      <c r="Y84" s="747"/>
    </row>
    <row r="85" spans="2:25" x14ac:dyDescent="0.15">
      <c r="B85" s="747"/>
      <c r="C85" s="747"/>
      <c r="D85" s="747"/>
      <c r="E85" s="747"/>
      <c r="F85" s="747"/>
      <c r="G85" s="747"/>
      <c r="H85" s="747"/>
      <c r="I85" s="747"/>
      <c r="J85" s="747"/>
      <c r="K85" s="747"/>
      <c r="L85" s="747"/>
      <c r="M85" s="747"/>
      <c r="N85" s="747"/>
      <c r="O85" s="747"/>
      <c r="P85" s="747"/>
      <c r="Q85" s="747"/>
      <c r="R85" s="747"/>
      <c r="S85" s="747"/>
      <c r="T85" s="747"/>
      <c r="U85" s="747"/>
      <c r="V85" s="747"/>
      <c r="W85" s="747"/>
      <c r="X85" s="747"/>
      <c r="Y85" s="747"/>
    </row>
    <row r="86" spans="2:25" x14ac:dyDescent="0.15">
      <c r="B86" s="747"/>
      <c r="C86" s="747"/>
      <c r="D86" s="747"/>
      <c r="E86" s="747"/>
      <c r="F86" s="747"/>
      <c r="G86" s="747"/>
      <c r="H86" s="747"/>
      <c r="I86" s="747"/>
      <c r="J86" s="747"/>
      <c r="K86" s="747"/>
      <c r="L86" s="747"/>
      <c r="M86" s="747"/>
      <c r="N86" s="747"/>
      <c r="O86" s="747"/>
      <c r="P86" s="747"/>
      <c r="Q86" s="747"/>
      <c r="R86" s="747"/>
      <c r="S86" s="747"/>
      <c r="T86" s="747"/>
      <c r="U86" s="747"/>
      <c r="V86" s="747"/>
      <c r="W86" s="747"/>
      <c r="X86" s="747"/>
      <c r="Y86" s="747"/>
    </row>
    <row r="87" spans="2:25" x14ac:dyDescent="0.15">
      <c r="B87" s="747"/>
      <c r="C87" s="747"/>
      <c r="D87" s="747"/>
      <c r="E87" s="747"/>
      <c r="F87" s="747"/>
      <c r="G87" s="747"/>
      <c r="H87" s="747"/>
      <c r="I87" s="747"/>
      <c r="J87" s="747"/>
      <c r="K87" s="747"/>
      <c r="L87" s="747"/>
      <c r="M87" s="747"/>
      <c r="N87" s="747"/>
      <c r="O87" s="747"/>
      <c r="P87" s="747"/>
      <c r="Q87" s="747"/>
      <c r="R87" s="747"/>
      <c r="S87" s="747"/>
      <c r="T87" s="747"/>
      <c r="U87" s="747"/>
      <c r="V87" s="747"/>
      <c r="W87" s="747"/>
      <c r="X87" s="747"/>
      <c r="Y87" s="747"/>
    </row>
    <row r="88" spans="2:25" x14ac:dyDescent="0.15">
      <c r="B88" s="747"/>
      <c r="C88" s="747"/>
      <c r="D88" s="747"/>
      <c r="E88" s="747"/>
      <c r="F88" s="747"/>
      <c r="G88" s="747"/>
      <c r="H88" s="747"/>
      <c r="I88" s="747"/>
      <c r="J88" s="747"/>
      <c r="K88" s="747"/>
      <c r="L88" s="747"/>
      <c r="M88" s="747"/>
      <c r="N88" s="747"/>
      <c r="O88" s="747"/>
      <c r="P88" s="747"/>
      <c r="Q88" s="747"/>
      <c r="R88" s="747"/>
      <c r="S88" s="747"/>
      <c r="T88" s="747"/>
      <c r="U88" s="747"/>
      <c r="V88" s="747"/>
      <c r="W88" s="747"/>
      <c r="X88" s="747"/>
      <c r="Y88" s="747"/>
    </row>
    <row r="89" spans="2:25" x14ac:dyDescent="0.15">
      <c r="B89" s="747"/>
      <c r="C89" s="747"/>
      <c r="D89" s="747"/>
      <c r="E89" s="747"/>
      <c r="F89" s="747"/>
      <c r="G89" s="747"/>
      <c r="H89" s="747"/>
      <c r="I89" s="747"/>
      <c r="J89" s="747"/>
      <c r="K89" s="747"/>
      <c r="L89" s="747"/>
      <c r="M89" s="747"/>
      <c r="N89" s="747"/>
      <c r="O89" s="747"/>
      <c r="P89" s="747"/>
      <c r="Q89" s="747"/>
      <c r="R89" s="747"/>
      <c r="S89" s="747"/>
      <c r="T89" s="747"/>
      <c r="U89" s="747"/>
      <c r="V89" s="747"/>
      <c r="W89" s="747"/>
      <c r="X89" s="747"/>
      <c r="Y89" s="747"/>
    </row>
    <row r="90" spans="2:25" x14ac:dyDescent="0.15">
      <c r="B90" s="747"/>
      <c r="C90" s="747"/>
      <c r="D90" s="747"/>
      <c r="E90" s="747"/>
      <c r="F90" s="747"/>
      <c r="G90" s="747"/>
      <c r="H90" s="747"/>
      <c r="I90" s="747"/>
      <c r="J90" s="747"/>
      <c r="K90" s="747"/>
      <c r="L90" s="747"/>
      <c r="M90" s="747"/>
      <c r="N90" s="747"/>
      <c r="O90" s="747"/>
      <c r="P90" s="747"/>
      <c r="Q90" s="747"/>
      <c r="R90" s="747"/>
      <c r="S90" s="747"/>
      <c r="T90" s="747"/>
      <c r="U90" s="747"/>
      <c r="V90" s="747"/>
      <c r="W90" s="747"/>
      <c r="X90" s="747"/>
      <c r="Y90" s="747"/>
    </row>
    <row r="91" spans="2:25" x14ac:dyDescent="0.15">
      <c r="B91" s="747"/>
      <c r="C91" s="747"/>
      <c r="D91" s="747"/>
      <c r="E91" s="747"/>
      <c r="F91" s="747"/>
      <c r="G91" s="747"/>
      <c r="H91" s="747"/>
      <c r="I91" s="747"/>
      <c r="J91" s="747"/>
      <c r="K91" s="747"/>
      <c r="L91" s="747"/>
      <c r="M91" s="747"/>
      <c r="N91" s="747"/>
      <c r="O91" s="747"/>
      <c r="P91" s="747"/>
      <c r="Q91" s="747"/>
      <c r="R91" s="747"/>
      <c r="S91" s="747"/>
      <c r="T91" s="747"/>
      <c r="U91" s="747"/>
      <c r="V91" s="747"/>
      <c r="W91" s="747"/>
      <c r="X91" s="747"/>
      <c r="Y91" s="747"/>
    </row>
    <row r="92" spans="2:25" x14ac:dyDescent="0.15">
      <c r="B92" s="747"/>
      <c r="C92" s="747"/>
      <c r="D92" s="747"/>
      <c r="E92" s="747"/>
      <c r="F92" s="747"/>
      <c r="G92" s="747"/>
      <c r="H92" s="747"/>
      <c r="I92" s="747"/>
      <c r="J92" s="747"/>
      <c r="K92" s="747"/>
      <c r="L92" s="747"/>
      <c r="M92" s="747"/>
      <c r="N92" s="747"/>
      <c r="O92" s="747"/>
      <c r="P92" s="747"/>
      <c r="Q92" s="747"/>
      <c r="R92" s="747"/>
      <c r="S92" s="747"/>
      <c r="T92" s="747"/>
      <c r="U92" s="747"/>
      <c r="V92" s="747"/>
      <c r="W92" s="747"/>
      <c r="X92" s="747"/>
      <c r="Y92" s="747"/>
    </row>
    <row r="93" spans="2:25" x14ac:dyDescent="0.15">
      <c r="B93" s="747"/>
      <c r="C93" s="747"/>
      <c r="D93" s="747"/>
      <c r="E93" s="747"/>
      <c r="F93" s="747"/>
      <c r="G93" s="747"/>
      <c r="H93" s="747"/>
      <c r="I93" s="747"/>
      <c r="J93" s="747"/>
      <c r="K93" s="747"/>
      <c r="L93" s="747"/>
      <c r="M93" s="747"/>
      <c r="N93" s="747"/>
      <c r="O93" s="747"/>
      <c r="P93" s="747"/>
      <c r="Q93" s="747"/>
      <c r="R93" s="747"/>
      <c r="S93" s="747"/>
      <c r="T93" s="747"/>
      <c r="U93" s="747"/>
      <c r="V93" s="747"/>
      <c r="W93" s="747"/>
      <c r="X93" s="747"/>
      <c r="Y93" s="747"/>
    </row>
    <row r="94" spans="2:25" x14ac:dyDescent="0.15">
      <c r="B94" s="747"/>
      <c r="C94" s="747"/>
      <c r="D94" s="747"/>
      <c r="E94" s="747"/>
      <c r="F94" s="747"/>
      <c r="G94" s="747"/>
      <c r="H94" s="747"/>
      <c r="I94" s="747"/>
      <c r="J94" s="747"/>
      <c r="K94" s="747"/>
      <c r="L94" s="747"/>
      <c r="M94" s="747"/>
      <c r="N94" s="747"/>
      <c r="O94" s="747"/>
      <c r="P94" s="747"/>
      <c r="Q94" s="747"/>
      <c r="R94" s="747"/>
      <c r="S94" s="747"/>
      <c r="T94" s="747"/>
      <c r="U94" s="747"/>
      <c r="V94" s="747"/>
      <c r="W94" s="747"/>
      <c r="X94" s="747"/>
      <c r="Y94" s="747"/>
    </row>
    <row r="95" spans="2:25" x14ac:dyDescent="0.15">
      <c r="B95" s="747"/>
      <c r="C95" s="747"/>
      <c r="D95" s="747"/>
      <c r="E95" s="747"/>
      <c r="F95" s="747"/>
      <c r="G95" s="747"/>
      <c r="H95" s="747"/>
      <c r="I95" s="747"/>
      <c r="J95" s="747"/>
      <c r="K95" s="747"/>
      <c r="L95" s="747"/>
      <c r="M95" s="747"/>
      <c r="N95" s="747"/>
      <c r="O95" s="747"/>
      <c r="P95" s="747"/>
      <c r="Q95" s="747"/>
      <c r="R95" s="747"/>
      <c r="S95" s="747"/>
      <c r="T95" s="747"/>
      <c r="U95" s="747"/>
      <c r="V95" s="747"/>
      <c r="W95" s="747"/>
      <c r="X95" s="747"/>
      <c r="Y95" s="747"/>
    </row>
    <row r="96" spans="2:25" x14ac:dyDescent="0.15">
      <c r="B96" s="747"/>
      <c r="C96" s="747"/>
      <c r="D96" s="747"/>
      <c r="E96" s="747"/>
      <c r="F96" s="747"/>
      <c r="G96" s="747"/>
      <c r="H96" s="747"/>
      <c r="I96" s="747"/>
      <c r="J96" s="747"/>
      <c r="K96" s="747"/>
      <c r="L96" s="747"/>
      <c r="M96" s="747"/>
      <c r="N96" s="747"/>
      <c r="O96" s="747"/>
      <c r="P96" s="747"/>
      <c r="Q96" s="747"/>
      <c r="R96" s="747"/>
      <c r="S96" s="747"/>
      <c r="T96" s="747"/>
      <c r="U96" s="747"/>
      <c r="V96" s="747"/>
      <c r="W96" s="747"/>
      <c r="X96" s="747"/>
      <c r="Y96" s="747"/>
    </row>
    <row r="97" spans="2:25" x14ac:dyDescent="0.15">
      <c r="B97" s="747"/>
      <c r="C97" s="747"/>
      <c r="D97" s="747"/>
      <c r="E97" s="747"/>
      <c r="F97" s="747"/>
      <c r="G97" s="747"/>
      <c r="H97" s="747"/>
      <c r="I97" s="747"/>
      <c r="J97" s="747"/>
      <c r="K97" s="747"/>
      <c r="L97" s="747"/>
      <c r="M97" s="747"/>
      <c r="N97" s="747"/>
      <c r="O97" s="747"/>
      <c r="P97" s="747"/>
      <c r="Q97" s="747"/>
      <c r="R97" s="747"/>
      <c r="S97" s="747"/>
      <c r="T97" s="747"/>
      <c r="U97" s="747"/>
      <c r="V97" s="747"/>
      <c r="W97" s="747"/>
      <c r="X97" s="747"/>
      <c r="Y97" s="747"/>
    </row>
    <row r="98" spans="2:25" x14ac:dyDescent="0.15">
      <c r="B98" s="747"/>
      <c r="C98" s="747"/>
      <c r="D98" s="747"/>
      <c r="E98" s="747"/>
      <c r="F98" s="747"/>
      <c r="G98" s="747"/>
      <c r="H98" s="747"/>
      <c r="I98" s="747"/>
      <c r="J98" s="747"/>
      <c r="K98" s="747"/>
      <c r="L98" s="747"/>
      <c r="M98" s="747"/>
      <c r="N98" s="747"/>
      <c r="O98" s="747"/>
      <c r="P98" s="747"/>
      <c r="Q98" s="747"/>
      <c r="R98" s="747"/>
      <c r="S98" s="747"/>
      <c r="T98" s="747"/>
      <c r="U98" s="747"/>
      <c r="V98" s="747"/>
      <c r="W98" s="747"/>
      <c r="X98" s="747"/>
      <c r="Y98" s="747"/>
    </row>
    <row r="99" spans="2:25" x14ac:dyDescent="0.15">
      <c r="B99" s="747"/>
      <c r="C99" s="747"/>
      <c r="D99" s="747"/>
      <c r="E99" s="747"/>
      <c r="F99" s="747"/>
      <c r="G99" s="747"/>
      <c r="H99" s="747"/>
      <c r="I99" s="747"/>
      <c r="J99" s="747"/>
      <c r="K99" s="747"/>
      <c r="L99" s="747"/>
      <c r="M99" s="747"/>
      <c r="N99" s="747"/>
      <c r="O99" s="747"/>
      <c r="P99" s="747"/>
      <c r="Q99" s="747"/>
      <c r="R99" s="747"/>
      <c r="S99" s="747"/>
      <c r="T99" s="747"/>
      <c r="U99" s="747"/>
      <c r="V99" s="747"/>
      <c r="W99" s="747"/>
      <c r="X99" s="747"/>
      <c r="Y99" s="747"/>
    </row>
    <row r="100" spans="2:25" x14ac:dyDescent="0.15">
      <c r="B100" s="747"/>
      <c r="C100" s="747"/>
      <c r="D100" s="747"/>
      <c r="E100" s="747"/>
      <c r="F100" s="747"/>
      <c r="G100" s="747"/>
      <c r="H100" s="747"/>
      <c r="I100" s="747"/>
      <c r="J100" s="747"/>
      <c r="K100" s="747"/>
      <c r="L100" s="747"/>
      <c r="M100" s="747"/>
      <c r="N100" s="747"/>
      <c r="O100" s="747"/>
      <c r="P100" s="747"/>
      <c r="Q100" s="747"/>
      <c r="R100" s="747"/>
      <c r="S100" s="747"/>
      <c r="T100" s="747"/>
      <c r="U100" s="747"/>
      <c r="V100" s="747"/>
      <c r="W100" s="747"/>
      <c r="X100" s="747"/>
      <c r="Y100" s="747"/>
    </row>
    <row r="101" spans="2:25" x14ac:dyDescent="0.15">
      <c r="B101" s="747"/>
      <c r="C101" s="747"/>
      <c r="D101" s="747"/>
      <c r="E101" s="747"/>
      <c r="F101" s="747"/>
      <c r="G101" s="747"/>
      <c r="H101" s="747"/>
      <c r="I101" s="747"/>
      <c r="J101" s="747"/>
      <c r="K101" s="747"/>
      <c r="L101" s="747"/>
      <c r="M101" s="747"/>
      <c r="N101" s="747"/>
      <c r="O101" s="747"/>
      <c r="P101" s="747"/>
      <c r="Q101" s="747"/>
      <c r="R101" s="747"/>
      <c r="S101" s="747"/>
      <c r="T101" s="747"/>
      <c r="U101" s="747"/>
      <c r="V101" s="747"/>
      <c r="W101" s="747"/>
      <c r="X101" s="747"/>
      <c r="Y101" s="747"/>
    </row>
    <row r="102" spans="2:25" x14ac:dyDescent="0.15">
      <c r="B102" s="747"/>
      <c r="C102" s="747"/>
      <c r="D102" s="747"/>
      <c r="E102" s="747"/>
      <c r="F102" s="747"/>
      <c r="G102" s="747"/>
      <c r="H102" s="747"/>
      <c r="I102" s="747"/>
      <c r="J102" s="747"/>
      <c r="K102" s="747"/>
      <c r="L102" s="747"/>
      <c r="M102" s="747"/>
      <c r="N102" s="747"/>
      <c r="O102" s="747"/>
      <c r="P102" s="747"/>
      <c r="Q102" s="747"/>
      <c r="R102" s="747"/>
      <c r="S102" s="747"/>
      <c r="T102" s="747"/>
      <c r="U102" s="747"/>
      <c r="V102" s="747"/>
      <c r="W102" s="747"/>
      <c r="X102" s="747"/>
      <c r="Y102" s="747"/>
    </row>
    <row r="103" spans="2:25" x14ac:dyDescent="0.15">
      <c r="B103" s="747"/>
      <c r="C103" s="747"/>
      <c r="D103" s="747"/>
      <c r="E103" s="747"/>
      <c r="F103" s="747"/>
      <c r="G103" s="747"/>
      <c r="H103" s="747"/>
      <c r="I103" s="747"/>
      <c r="J103" s="747"/>
      <c r="K103" s="747"/>
      <c r="L103" s="747"/>
      <c r="M103" s="747"/>
      <c r="N103" s="747"/>
      <c r="O103" s="747"/>
      <c r="P103" s="747"/>
      <c r="Q103" s="747"/>
      <c r="R103" s="747"/>
      <c r="S103" s="747"/>
      <c r="T103" s="747"/>
      <c r="U103" s="747"/>
      <c r="V103" s="747"/>
      <c r="W103" s="747"/>
      <c r="X103" s="747"/>
      <c r="Y103" s="747"/>
    </row>
    <row r="104" spans="2:25" x14ac:dyDescent="0.15">
      <c r="B104" s="747"/>
      <c r="C104" s="747"/>
      <c r="D104" s="747"/>
      <c r="E104" s="747"/>
      <c r="F104" s="747"/>
      <c r="G104" s="747"/>
      <c r="H104" s="747"/>
      <c r="I104" s="747"/>
      <c r="J104" s="747"/>
      <c r="K104" s="747"/>
      <c r="L104" s="747"/>
      <c r="M104" s="747"/>
      <c r="N104" s="747"/>
      <c r="O104" s="747"/>
      <c r="P104" s="747"/>
      <c r="Q104" s="747"/>
      <c r="R104" s="747"/>
      <c r="S104" s="747"/>
      <c r="T104" s="747"/>
      <c r="U104" s="747"/>
      <c r="V104" s="747"/>
      <c r="W104" s="747"/>
      <c r="X104" s="747"/>
      <c r="Y104" s="747"/>
    </row>
    <row r="105" spans="2:25" x14ac:dyDescent="0.15">
      <c r="B105" s="747"/>
      <c r="C105" s="747"/>
      <c r="D105" s="747"/>
      <c r="E105" s="747"/>
      <c r="F105" s="747"/>
      <c r="G105" s="747"/>
      <c r="H105" s="747"/>
      <c r="I105" s="747"/>
      <c r="J105" s="747"/>
      <c r="K105" s="747"/>
      <c r="L105" s="747"/>
      <c r="M105" s="747"/>
      <c r="N105" s="747"/>
      <c r="O105" s="747"/>
      <c r="P105" s="747"/>
      <c r="Q105" s="747"/>
      <c r="R105" s="747"/>
      <c r="S105" s="747"/>
      <c r="T105" s="747"/>
      <c r="U105" s="747"/>
      <c r="V105" s="747"/>
      <c r="W105" s="747"/>
      <c r="X105" s="747"/>
      <c r="Y105" s="747"/>
    </row>
    <row r="106" spans="2:25" x14ac:dyDescent="0.15">
      <c r="B106" s="747"/>
      <c r="C106" s="747"/>
      <c r="D106" s="747"/>
      <c r="E106" s="747"/>
      <c r="F106" s="747"/>
      <c r="G106" s="747"/>
      <c r="H106" s="747"/>
      <c r="I106" s="747"/>
      <c r="J106" s="747"/>
      <c r="K106" s="747"/>
      <c r="L106" s="747"/>
      <c r="M106" s="747"/>
      <c r="N106" s="747"/>
      <c r="O106" s="747"/>
      <c r="P106" s="747"/>
      <c r="Q106" s="747"/>
      <c r="R106" s="747"/>
      <c r="S106" s="747"/>
      <c r="T106" s="747"/>
      <c r="U106" s="747"/>
      <c r="V106" s="747"/>
      <c r="W106" s="747"/>
      <c r="X106" s="747"/>
      <c r="Y106" s="747"/>
    </row>
    <row r="107" spans="2:25" x14ac:dyDescent="0.15">
      <c r="B107" s="747"/>
      <c r="C107" s="747"/>
      <c r="D107" s="747"/>
      <c r="E107" s="747"/>
      <c r="F107" s="747"/>
      <c r="G107" s="747"/>
      <c r="H107" s="747"/>
      <c r="I107" s="747"/>
      <c r="J107" s="747"/>
      <c r="K107" s="747"/>
      <c r="L107" s="747"/>
      <c r="M107" s="747"/>
      <c r="N107" s="747"/>
      <c r="O107" s="747"/>
      <c r="P107" s="747"/>
      <c r="Q107" s="747"/>
      <c r="R107" s="747"/>
      <c r="S107" s="747"/>
      <c r="T107" s="747"/>
      <c r="U107" s="747"/>
      <c r="V107" s="747"/>
      <c r="W107" s="747"/>
      <c r="X107" s="747"/>
      <c r="Y107" s="747"/>
    </row>
    <row r="108" spans="2:25" x14ac:dyDescent="0.15">
      <c r="B108" s="747"/>
      <c r="C108" s="747"/>
      <c r="D108" s="747"/>
      <c r="E108" s="747"/>
      <c r="F108" s="747"/>
      <c r="G108" s="747"/>
      <c r="H108" s="747"/>
      <c r="I108" s="747"/>
      <c r="J108" s="747"/>
      <c r="K108" s="747"/>
      <c r="L108" s="747"/>
      <c r="M108" s="747"/>
      <c r="N108" s="747"/>
      <c r="O108" s="747"/>
      <c r="P108" s="747"/>
      <c r="Q108" s="747"/>
      <c r="R108" s="747"/>
      <c r="S108" s="747"/>
      <c r="T108" s="747"/>
      <c r="U108" s="747"/>
      <c r="V108" s="747"/>
      <c r="W108" s="747"/>
      <c r="X108" s="747"/>
      <c r="Y108" s="747"/>
    </row>
    <row r="109" spans="2:25" x14ac:dyDescent="0.15">
      <c r="B109" s="747"/>
      <c r="C109" s="747"/>
      <c r="D109" s="747"/>
      <c r="E109" s="747"/>
      <c r="F109" s="747"/>
      <c r="G109" s="747"/>
      <c r="H109" s="747"/>
      <c r="I109" s="747"/>
      <c r="J109" s="747"/>
      <c r="K109" s="747"/>
      <c r="L109" s="747"/>
      <c r="M109" s="747"/>
      <c r="N109" s="747"/>
      <c r="O109" s="747"/>
      <c r="P109" s="747"/>
      <c r="Q109" s="747"/>
      <c r="R109" s="747"/>
      <c r="S109" s="747"/>
      <c r="T109" s="747"/>
      <c r="U109" s="747"/>
      <c r="V109" s="747"/>
      <c r="W109" s="747"/>
      <c r="X109" s="747"/>
      <c r="Y109" s="747"/>
    </row>
    <row r="110" spans="2:25" x14ac:dyDescent="0.15">
      <c r="B110" s="747"/>
      <c r="C110" s="747"/>
      <c r="D110" s="747"/>
      <c r="E110" s="747"/>
      <c r="F110" s="747"/>
      <c r="G110" s="747"/>
      <c r="H110" s="747"/>
      <c r="I110" s="747"/>
      <c r="J110" s="747"/>
      <c r="K110" s="747"/>
      <c r="L110" s="747"/>
      <c r="M110" s="747"/>
      <c r="N110" s="747"/>
      <c r="O110" s="747"/>
      <c r="P110" s="747"/>
      <c r="Q110" s="747"/>
      <c r="R110" s="747"/>
      <c r="S110" s="747"/>
      <c r="T110" s="747"/>
      <c r="U110" s="747"/>
      <c r="V110" s="747"/>
      <c r="W110" s="747"/>
      <c r="X110" s="747"/>
      <c r="Y110" s="747"/>
    </row>
    <row r="111" spans="2:25" x14ac:dyDescent="0.15">
      <c r="B111" s="747"/>
      <c r="C111" s="747"/>
      <c r="D111" s="747"/>
      <c r="E111" s="747"/>
      <c r="F111" s="747"/>
      <c r="G111" s="747"/>
      <c r="H111" s="747"/>
      <c r="I111" s="747"/>
      <c r="J111" s="747"/>
      <c r="K111" s="747"/>
      <c r="L111" s="747"/>
      <c r="M111" s="747"/>
      <c r="N111" s="747"/>
      <c r="O111" s="747"/>
      <c r="P111" s="747"/>
      <c r="Q111" s="747"/>
      <c r="R111" s="747"/>
      <c r="S111" s="747"/>
      <c r="T111" s="747"/>
      <c r="U111" s="747"/>
      <c r="V111" s="747"/>
      <c r="W111" s="747"/>
      <c r="X111" s="747"/>
      <c r="Y111" s="747"/>
    </row>
    <row r="112" spans="2:25" x14ac:dyDescent="0.15">
      <c r="B112" s="747"/>
      <c r="C112" s="747"/>
      <c r="D112" s="747"/>
      <c r="E112" s="747"/>
      <c r="F112" s="747"/>
      <c r="G112" s="747"/>
      <c r="H112" s="747"/>
      <c r="I112" s="747"/>
      <c r="J112" s="747"/>
      <c r="K112" s="747"/>
      <c r="L112" s="747"/>
      <c r="M112" s="747"/>
      <c r="N112" s="747"/>
      <c r="O112" s="747"/>
      <c r="P112" s="747"/>
      <c r="Q112" s="747"/>
      <c r="R112" s="747"/>
      <c r="S112" s="747"/>
      <c r="T112" s="747"/>
      <c r="U112" s="747"/>
      <c r="V112" s="747"/>
      <c r="W112" s="747"/>
      <c r="X112" s="747"/>
      <c r="Y112" s="747"/>
    </row>
    <row r="113" spans="2:25" x14ac:dyDescent="0.15">
      <c r="B113" s="747"/>
      <c r="C113" s="747"/>
      <c r="D113" s="747"/>
      <c r="E113" s="747"/>
      <c r="F113" s="747"/>
      <c r="G113" s="747"/>
      <c r="H113" s="747"/>
      <c r="I113" s="747"/>
      <c r="J113" s="747"/>
      <c r="K113" s="747"/>
      <c r="L113" s="747"/>
      <c r="M113" s="747"/>
      <c r="N113" s="747"/>
      <c r="O113" s="747"/>
      <c r="P113" s="747"/>
      <c r="Q113" s="747"/>
      <c r="R113" s="747"/>
      <c r="S113" s="747"/>
      <c r="T113" s="747"/>
      <c r="U113" s="747"/>
      <c r="V113" s="747"/>
      <c r="W113" s="747"/>
      <c r="X113" s="747"/>
      <c r="Y113" s="747"/>
    </row>
    <row r="114" spans="2:25" x14ac:dyDescent="0.15">
      <c r="B114" s="747"/>
      <c r="C114" s="747"/>
      <c r="D114" s="747"/>
      <c r="E114" s="747"/>
      <c r="F114" s="747"/>
      <c r="G114" s="747"/>
      <c r="H114" s="747"/>
      <c r="I114" s="747"/>
      <c r="J114" s="747"/>
      <c r="K114" s="747"/>
      <c r="L114" s="747"/>
      <c r="M114" s="747"/>
      <c r="N114" s="747"/>
      <c r="O114" s="747"/>
      <c r="P114" s="747"/>
      <c r="Q114" s="747"/>
      <c r="R114" s="747"/>
      <c r="S114" s="747"/>
      <c r="T114" s="747"/>
      <c r="U114" s="747"/>
      <c r="V114" s="747"/>
      <c r="W114" s="747"/>
      <c r="X114" s="747"/>
      <c r="Y114" s="747"/>
    </row>
    <row r="115" spans="2:25" x14ac:dyDescent="0.15">
      <c r="B115" s="747"/>
      <c r="C115" s="747"/>
      <c r="D115" s="747"/>
      <c r="E115" s="747"/>
      <c r="F115" s="747"/>
      <c r="G115" s="747"/>
      <c r="H115" s="747"/>
      <c r="I115" s="747"/>
      <c r="J115" s="747"/>
      <c r="K115" s="747"/>
      <c r="L115" s="747"/>
      <c r="M115" s="747"/>
      <c r="N115" s="747"/>
      <c r="O115" s="747"/>
      <c r="P115" s="747"/>
      <c r="Q115" s="747"/>
      <c r="R115" s="747"/>
      <c r="S115" s="747"/>
      <c r="T115" s="747"/>
      <c r="U115" s="747"/>
      <c r="V115" s="747"/>
      <c r="W115" s="747"/>
      <c r="X115" s="747"/>
      <c r="Y115" s="747"/>
    </row>
    <row r="116" spans="2:25" x14ac:dyDescent="0.15">
      <c r="B116" s="747"/>
      <c r="C116" s="747"/>
      <c r="D116" s="747"/>
      <c r="E116" s="747"/>
      <c r="F116" s="747"/>
      <c r="G116" s="747"/>
      <c r="H116" s="747"/>
      <c r="I116" s="747"/>
      <c r="J116" s="747"/>
      <c r="K116" s="747"/>
      <c r="L116" s="747"/>
      <c r="M116" s="747"/>
      <c r="N116" s="747"/>
      <c r="O116" s="747"/>
      <c r="P116" s="747"/>
      <c r="Q116" s="747"/>
      <c r="R116" s="747"/>
      <c r="S116" s="747"/>
      <c r="T116" s="747"/>
      <c r="U116" s="747"/>
      <c r="V116" s="747"/>
      <c r="W116" s="747"/>
      <c r="X116" s="747"/>
      <c r="Y116" s="747"/>
    </row>
    <row r="117" spans="2:25" x14ac:dyDescent="0.15">
      <c r="B117" s="747"/>
      <c r="C117" s="747"/>
      <c r="D117" s="747"/>
      <c r="E117" s="747"/>
      <c r="F117" s="747"/>
      <c r="G117" s="747"/>
      <c r="H117" s="747"/>
      <c r="I117" s="747"/>
      <c r="J117" s="747"/>
      <c r="K117" s="747"/>
      <c r="L117" s="747"/>
      <c r="M117" s="747"/>
      <c r="N117" s="747"/>
      <c r="O117" s="747"/>
      <c r="P117" s="747"/>
      <c r="Q117" s="747"/>
      <c r="R117" s="747"/>
      <c r="S117" s="747"/>
      <c r="T117" s="747"/>
      <c r="U117" s="747"/>
      <c r="V117" s="747"/>
      <c r="W117" s="747"/>
      <c r="X117" s="747"/>
      <c r="Y117" s="747"/>
    </row>
    <row r="118" spans="2:25" x14ac:dyDescent="0.15">
      <c r="B118" s="747"/>
      <c r="C118" s="747"/>
      <c r="D118" s="747"/>
      <c r="E118" s="747"/>
      <c r="F118" s="747"/>
      <c r="G118" s="747"/>
      <c r="H118" s="747"/>
      <c r="I118" s="747"/>
      <c r="J118" s="747"/>
      <c r="K118" s="747"/>
      <c r="L118" s="747"/>
      <c r="M118" s="747"/>
      <c r="N118" s="747"/>
      <c r="O118" s="747"/>
      <c r="P118" s="747"/>
      <c r="Q118" s="747"/>
      <c r="R118" s="747"/>
      <c r="S118" s="747"/>
      <c r="T118" s="747"/>
      <c r="U118" s="747"/>
      <c r="V118" s="747"/>
      <c r="W118" s="747"/>
      <c r="X118" s="747"/>
      <c r="Y118" s="747"/>
    </row>
    <row r="119" spans="2:25" x14ac:dyDescent="0.15">
      <c r="B119" s="747"/>
      <c r="C119" s="747"/>
      <c r="D119" s="747"/>
      <c r="E119" s="747"/>
      <c r="F119" s="747"/>
      <c r="G119" s="747"/>
      <c r="H119" s="747"/>
      <c r="I119" s="747"/>
      <c r="J119" s="747"/>
      <c r="K119" s="747"/>
      <c r="L119" s="747"/>
      <c r="M119" s="747"/>
      <c r="N119" s="747"/>
      <c r="O119" s="747"/>
      <c r="P119" s="747"/>
      <c r="Q119" s="747"/>
      <c r="R119" s="747"/>
      <c r="S119" s="747"/>
      <c r="T119" s="747"/>
      <c r="U119" s="747"/>
      <c r="V119" s="747"/>
      <c r="W119" s="747"/>
      <c r="X119" s="747"/>
      <c r="Y119" s="747"/>
    </row>
    <row r="120" spans="2:25" x14ac:dyDescent="0.15">
      <c r="B120" s="747"/>
      <c r="C120" s="747"/>
      <c r="D120" s="747"/>
      <c r="E120" s="747"/>
      <c r="F120" s="747"/>
      <c r="G120" s="747"/>
      <c r="H120" s="747"/>
      <c r="I120" s="747"/>
      <c r="J120" s="747"/>
      <c r="K120" s="747"/>
      <c r="L120" s="747"/>
      <c r="M120" s="747"/>
      <c r="N120" s="747"/>
      <c r="O120" s="747"/>
      <c r="P120" s="747"/>
      <c r="Q120" s="747"/>
      <c r="R120" s="747"/>
      <c r="S120" s="747"/>
      <c r="T120" s="747"/>
      <c r="U120" s="747"/>
      <c r="V120" s="747"/>
      <c r="W120" s="747"/>
      <c r="X120" s="747"/>
      <c r="Y120" s="747"/>
    </row>
    <row r="121" spans="2:25" x14ac:dyDescent="0.15">
      <c r="B121" s="747"/>
      <c r="C121" s="747"/>
      <c r="D121" s="747"/>
      <c r="E121" s="747"/>
      <c r="F121" s="747"/>
      <c r="G121" s="747"/>
      <c r="H121" s="747"/>
      <c r="I121" s="747"/>
      <c r="J121" s="747"/>
      <c r="K121" s="747"/>
      <c r="L121" s="747"/>
      <c r="M121" s="747"/>
      <c r="N121" s="747"/>
      <c r="O121" s="747"/>
      <c r="P121" s="747"/>
      <c r="Q121" s="747"/>
      <c r="R121" s="747"/>
      <c r="S121" s="747"/>
      <c r="T121" s="747"/>
      <c r="U121" s="747"/>
      <c r="V121" s="747"/>
      <c r="W121" s="747"/>
      <c r="X121" s="747"/>
      <c r="Y121" s="747"/>
    </row>
    <row r="122" spans="2:25" x14ac:dyDescent="0.15">
      <c r="B122" s="747"/>
      <c r="C122" s="747"/>
      <c r="D122" s="747"/>
      <c r="E122" s="747"/>
      <c r="F122" s="747"/>
      <c r="G122" s="747"/>
      <c r="H122" s="747"/>
      <c r="I122" s="747"/>
      <c r="J122" s="747"/>
      <c r="K122" s="747"/>
      <c r="L122" s="747"/>
      <c r="M122" s="747"/>
      <c r="N122" s="747"/>
      <c r="O122" s="747"/>
      <c r="P122" s="747"/>
      <c r="Q122" s="747"/>
      <c r="R122" s="747"/>
      <c r="S122" s="747"/>
      <c r="T122" s="747"/>
      <c r="U122" s="747"/>
      <c r="V122" s="747"/>
      <c r="W122" s="747"/>
      <c r="X122" s="747"/>
      <c r="Y122" s="747"/>
    </row>
    <row r="123" spans="2:25" x14ac:dyDescent="0.15">
      <c r="B123" s="747"/>
      <c r="C123" s="747"/>
      <c r="D123" s="747"/>
      <c r="E123" s="747"/>
      <c r="F123" s="747"/>
      <c r="G123" s="747"/>
      <c r="H123" s="747"/>
      <c r="I123" s="747"/>
      <c r="J123" s="747"/>
      <c r="K123" s="747"/>
      <c r="L123" s="747"/>
      <c r="M123" s="747"/>
      <c r="N123" s="747"/>
      <c r="O123" s="747"/>
      <c r="P123" s="747"/>
      <c r="Q123" s="747"/>
      <c r="R123" s="747"/>
      <c r="S123" s="747"/>
      <c r="T123" s="747"/>
      <c r="U123" s="747"/>
      <c r="V123" s="747"/>
      <c r="W123" s="747"/>
      <c r="X123" s="747"/>
      <c r="Y123" s="747"/>
    </row>
    <row r="124" spans="2:25" x14ac:dyDescent="0.15">
      <c r="B124" s="747"/>
      <c r="C124" s="747"/>
      <c r="D124" s="747"/>
      <c r="E124" s="747"/>
      <c r="F124" s="747"/>
      <c r="G124" s="747"/>
      <c r="H124" s="747"/>
      <c r="I124" s="747"/>
      <c r="J124" s="747"/>
      <c r="K124" s="747"/>
      <c r="L124" s="747"/>
      <c r="M124" s="747"/>
      <c r="N124" s="747"/>
      <c r="O124" s="747"/>
      <c r="P124" s="747"/>
      <c r="Q124" s="747"/>
      <c r="R124" s="747"/>
      <c r="S124" s="747"/>
      <c r="T124" s="747"/>
      <c r="U124" s="747"/>
      <c r="V124" s="747"/>
      <c r="W124" s="747"/>
      <c r="X124" s="747"/>
      <c r="Y124" s="747"/>
    </row>
    <row r="125" spans="2:25" x14ac:dyDescent="0.15">
      <c r="B125" s="747"/>
      <c r="C125" s="747"/>
      <c r="D125" s="747"/>
      <c r="E125" s="747"/>
      <c r="F125" s="747"/>
      <c r="G125" s="747"/>
      <c r="H125" s="747"/>
      <c r="I125" s="747"/>
      <c r="J125" s="747"/>
      <c r="K125" s="747"/>
      <c r="L125" s="747"/>
      <c r="M125" s="747"/>
      <c r="N125" s="747"/>
      <c r="O125" s="747"/>
      <c r="P125" s="747"/>
      <c r="Q125" s="747"/>
      <c r="R125" s="747"/>
      <c r="S125" s="747"/>
      <c r="T125" s="747"/>
      <c r="U125" s="747"/>
      <c r="V125" s="747"/>
      <c r="W125" s="747"/>
      <c r="X125" s="747"/>
      <c r="Y125" s="747"/>
    </row>
    <row r="126" spans="2:25" x14ac:dyDescent="0.15">
      <c r="B126" s="747"/>
      <c r="C126" s="747"/>
      <c r="D126" s="747"/>
      <c r="E126" s="747"/>
      <c r="F126" s="747"/>
      <c r="G126" s="747"/>
      <c r="H126" s="747"/>
      <c r="I126" s="747"/>
      <c r="J126" s="747"/>
      <c r="K126" s="747"/>
      <c r="L126" s="747"/>
      <c r="M126" s="747"/>
      <c r="N126" s="747"/>
      <c r="O126" s="747"/>
      <c r="P126" s="747"/>
      <c r="Q126" s="747"/>
      <c r="R126" s="747"/>
      <c r="S126" s="747"/>
      <c r="T126" s="747"/>
      <c r="U126" s="747"/>
      <c r="V126" s="747"/>
      <c r="W126" s="747"/>
      <c r="X126" s="747"/>
      <c r="Y126" s="747"/>
    </row>
    <row r="127" spans="2:25" x14ac:dyDescent="0.15">
      <c r="B127" s="747"/>
      <c r="C127" s="747"/>
      <c r="D127" s="747"/>
      <c r="E127" s="747"/>
      <c r="F127" s="747"/>
      <c r="G127" s="747"/>
      <c r="H127" s="747"/>
      <c r="I127" s="747"/>
      <c r="J127" s="747"/>
      <c r="K127" s="747"/>
      <c r="L127" s="747"/>
      <c r="M127" s="747"/>
      <c r="N127" s="747"/>
      <c r="O127" s="747"/>
      <c r="P127" s="747"/>
      <c r="Q127" s="747"/>
      <c r="R127" s="747"/>
      <c r="S127" s="747"/>
      <c r="T127" s="747"/>
      <c r="U127" s="747"/>
      <c r="V127" s="747"/>
      <c r="W127" s="747"/>
      <c r="X127" s="747"/>
      <c r="Y127" s="747"/>
    </row>
    <row r="128" spans="2:25" x14ac:dyDescent="0.15">
      <c r="B128" s="747"/>
      <c r="C128" s="747"/>
      <c r="D128" s="747"/>
      <c r="E128" s="747"/>
      <c r="F128" s="747"/>
      <c r="G128" s="747"/>
      <c r="H128" s="747"/>
      <c r="I128" s="747"/>
      <c r="J128" s="747"/>
      <c r="K128" s="747"/>
      <c r="L128" s="747"/>
      <c r="M128" s="747"/>
      <c r="N128" s="747"/>
      <c r="O128" s="747"/>
      <c r="P128" s="747"/>
      <c r="Q128" s="747"/>
      <c r="R128" s="747"/>
      <c r="S128" s="747"/>
      <c r="T128" s="747"/>
      <c r="U128" s="747"/>
      <c r="V128" s="747"/>
      <c r="W128" s="747"/>
      <c r="X128" s="747"/>
      <c r="Y128" s="747"/>
    </row>
    <row r="129" spans="2:25" x14ac:dyDescent="0.15">
      <c r="B129" s="747"/>
      <c r="C129" s="747"/>
      <c r="D129" s="747"/>
      <c r="E129" s="747"/>
      <c r="F129" s="747"/>
      <c r="G129" s="747"/>
      <c r="H129" s="747"/>
      <c r="I129" s="747"/>
      <c r="J129" s="747"/>
      <c r="K129" s="747"/>
      <c r="L129" s="747"/>
      <c r="M129" s="747"/>
      <c r="N129" s="747"/>
      <c r="O129" s="747"/>
      <c r="P129" s="747"/>
      <c r="Q129" s="747"/>
      <c r="R129" s="747"/>
      <c r="S129" s="747"/>
      <c r="T129" s="747"/>
      <c r="U129" s="747"/>
      <c r="V129" s="747"/>
      <c r="W129" s="747"/>
      <c r="X129" s="747"/>
      <c r="Y129" s="747"/>
    </row>
    <row r="130" spans="2:25" x14ac:dyDescent="0.15">
      <c r="B130" s="747"/>
      <c r="C130" s="747"/>
      <c r="D130" s="747"/>
      <c r="E130" s="747"/>
      <c r="F130" s="747"/>
      <c r="G130" s="747"/>
      <c r="H130" s="747"/>
      <c r="I130" s="747"/>
      <c r="J130" s="747"/>
      <c r="K130" s="747"/>
      <c r="L130" s="747"/>
      <c r="M130" s="747"/>
      <c r="N130" s="747"/>
      <c r="O130" s="747"/>
      <c r="P130" s="747"/>
      <c r="Q130" s="747"/>
      <c r="R130" s="747"/>
      <c r="S130" s="747"/>
      <c r="T130" s="747"/>
      <c r="U130" s="747"/>
      <c r="V130" s="747"/>
      <c r="W130" s="747"/>
      <c r="X130" s="747"/>
      <c r="Y130" s="747"/>
    </row>
    <row r="131" spans="2:25" x14ac:dyDescent="0.15">
      <c r="B131" s="747"/>
      <c r="C131" s="747"/>
      <c r="D131" s="747"/>
      <c r="E131" s="747"/>
      <c r="F131" s="747"/>
      <c r="G131" s="747"/>
      <c r="H131" s="747"/>
      <c r="I131" s="747"/>
      <c r="J131" s="747"/>
      <c r="K131" s="747"/>
      <c r="L131" s="747"/>
      <c r="M131" s="747"/>
      <c r="N131" s="747"/>
      <c r="O131" s="747"/>
      <c r="P131" s="747"/>
      <c r="Q131" s="747"/>
      <c r="R131" s="747"/>
      <c r="S131" s="747"/>
      <c r="T131" s="747"/>
      <c r="U131" s="747"/>
      <c r="V131" s="747"/>
      <c r="W131" s="747"/>
      <c r="X131" s="747"/>
      <c r="Y131" s="747"/>
    </row>
    <row r="132" spans="2:25" x14ac:dyDescent="0.15">
      <c r="B132" s="747"/>
      <c r="C132" s="747"/>
      <c r="D132" s="747"/>
      <c r="E132" s="747"/>
      <c r="F132" s="747"/>
      <c r="G132" s="747"/>
      <c r="H132" s="747"/>
      <c r="I132" s="747"/>
      <c r="J132" s="747"/>
      <c r="K132" s="747"/>
      <c r="L132" s="747"/>
      <c r="M132" s="747"/>
      <c r="N132" s="747"/>
      <c r="O132" s="747"/>
      <c r="P132" s="747"/>
      <c r="Q132" s="747"/>
      <c r="R132" s="747"/>
      <c r="S132" s="747"/>
      <c r="T132" s="747"/>
      <c r="U132" s="747"/>
      <c r="V132" s="747"/>
      <c r="W132" s="747"/>
      <c r="X132" s="747"/>
      <c r="Y132" s="747"/>
    </row>
    <row r="133" spans="2:25" x14ac:dyDescent="0.15">
      <c r="B133" s="747"/>
      <c r="C133" s="747"/>
      <c r="D133" s="747"/>
      <c r="E133" s="747"/>
      <c r="F133" s="747"/>
      <c r="G133" s="747"/>
      <c r="H133" s="747"/>
      <c r="I133" s="747"/>
      <c r="J133" s="747"/>
      <c r="K133" s="747"/>
      <c r="L133" s="747"/>
      <c r="M133" s="747"/>
      <c r="N133" s="747"/>
      <c r="O133" s="747"/>
      <c r="P133" s="747"/>
      <c r="Q133" s="747"/>
      <c r="R133" s="747"/>
      <c r="S133" s="747"/>
      <c r="T133" s="747"/>
      <c r="U133" s="747"/>
      <c r="V133" s="747"/>
      <c r="W133" s="747"/>
      <c r="X133" s="747"/>
      <c r="Y133" s="747"/>
    </row>
    <row r="134" spans="2:25" x14ac:dyDescent="0.15">
      <c r="B134" s="747"/>
      <c r="C134" s="747"/>
      <c r="D134" s="747"/>
      <c r="E134" s="747"/>
      <c r="F134" s="747"/>
      <c r="G134" s="747"/>
      <c r="H134" s="747"/>
      <c r="I134" s="747"/>
      <c r="J134" s="747"/>
      <c r="K134" s="747"/>
      <c r="L134" s="747"/>
      <c r="M134" s="747"/>
      <c r="N134" s="747"/>
      <c r="O134" s="747"/>
      <c r="P134" s="747"/>
      <c r="Q134" s="747"/>
      <c r="R134" s="747"/>
      <c r="S134" s="747"/>
      <c r="T134" s="747"/>
      <c r="U134" s="747"/>
      <c r="V134" s="747"/>
      <c r="W134" s="747"/>
      <c r="X134" s="747"/>
      <c r="Y134" s="747"/>
    </row>
    <row r="135" spans="2:25" x14ac:dyDescent="0.15">
      <c r="B135" s="747"/>
      <c r="C135" s="747"/>
      <c r="D135" s="747"/>
      <c r="E135" s="747"/>
      <c r="F135" s="747"/>
      <c r="G135" s="747"/>
      <c r="H135" s="747"/>
      <c r="I135" s="747"/>
      <c r="J135" s="747"/>
      <c r="K135" s="747"/>
      <c r="L135" s="747"/>
      <c r="M135" s="747"/>
      <c r="N135" s="747"/>
      <c r="O135" s="747"/>
      <c r="P135" s="747"/>
      <c r="Q135" s="747"/>
      <c r="R135" s="747"/>
      <c r="S135" s="747"/>
      <c r="T135" s="747"/>
      <c r="U135" s="747"/>
      <c r="V135" s="747"/>
      <c r="W135" s="747"/>
      <c r="X135" s="747"/>
      <c r="Y135" s="747"/>
    </row>
    <row r="136" spans="2:25" x14ac:dyDescent="0.15">
      <c r="B136" s="747"/>
      <c r="C136" s="747"/>
      <c r="D136" s="747"/>
      <c r="E136" s="747"/>
      <c r="F136" s="747"/>
      <c r="G136" s="747"/>
      <c r="H136" s="747"/>
      <c r="I136" s="747"/>
      <c r="J136" s="747"/>
      <c r="K136" s="747"/>
      <c r="L136" s="747"/>
      <c r="M136" s="747"/>
      <c r="N136" s="747"/>
      <c r="O136" s="747"/>
      <c r="P136" s="747"/>
      <c r="Q136" s="747"/>
      <c r="R136" s="747"/>
      <c r="S136" s="747"/>
      <c r="T136" s="747"/>
      <c r="U136" s="747"/>
      <c r="V136" s="747"/>
      <c r="W136" s="747"/>
      <c r="X136" s="747"/>
      <c r="Y136" s="747"/>
    </row>
    <row r="137" spans="2:25" x14ac:dyDescent="0.15">
      <c r="B137" s="747"/>
      <c r="C137" s="747"/>
      <c r="D137" s="747"/>
      <c r="E137" s="747"/>
      <c r="F137" s="747"/>
      <c r="G137" s="747"/>
      <c r="H137" s="747"/>
      <c r="I137" s="747"/>
      <c r="J137" s="747"/>
      <c r="K137" s="747"/>
      <c r="L137" s="747"/>
      <c r="M137" s="747"/>
      <c r="N137" s="747"/>
      <c r="O137" s="747"/>
      <c r="P137" s="747"/>
      <c r="Q137" s="747"/>
      <c r="R137" s="747"/>
      <c r="S137" s="747"/>
      <c r="T137" s="747"/>
      <c r="U137" s="747"/>
      <c r="V137" s="747"/>
      <c r="W137" s="747"/>
      <c r="X137" s="747"/>
      <c r="Y137" s="747"/>
    </row>
    <row r="138" spans="2:25" x14ac:dyDescent="0.15">
      <c r="B138" s="747"/>
      <c r="C138" s="747"/>
      <c r="D138" s="747"/>
      <c r="E138" s="747"/>
      <c r="F138" s="747"/>
      <c r="G138" s="747"/>
      <c r="H138" s="747"/>
      <c r="I138" s="747"/>
      <c r="J138" s="747"/>
      <c r="K138" s="747"/>
      <c r="L138" s="747"/>
      <c r="M138" s="747"/>
      <c r="N138" s="747"/>
      <c r="O138" s="747"/>
      <c r="P138" s="747"/>
      <c r="Q138" s="747"/>
      <c r="R138" s="747"/>
      <c r="S138" s="747"/>
      <c r="T138" s="747"/>
      <c r="U138" s="747"/>
      <c r="V138" s="747"/>
      <c r="W138" s="747"/>
      <c r="X138" s="747"/>
      <c r="Y138" s="747"/>
    </row>
    <row r="139" spans="2:25" x14ac:dyDescent="0.15">
      <c r="B139" s="747"/>
      <c r="C139" s="747"/>
      <c r="D139" s="747"/>
      <c r="E139" s="747"/>
      <c r="F139" s="747"/>
      <c r="G139" s="747"/>
      <c r="H139" s="747"/>
      <c r="I139" s="747"/>
      <c r="J139" s="747"/>
      <c r="K139" s="747"/>
      <c r="L139" s="747"/>
      <c r="M139" s="747"/>
      <c r="N139" s="747"/>
      <c r="O139" s="747"/>
      <c r="P139" s="747"/>
      <c r="Q139" s="747"/>
      <c r="R139" s="747"/>
      <c r="S139" s="747"/>
      <c r="T139" s="747"/>
      <c r="U139" s="747"/>
      <c r="V139" s="747"/>
      <c r="W139" s="747"/>
      <c r="X139" s="747"/>
      <c r="Y139" s="747"/>
    </row>
    <row r="140" spans="2:25" x14ac:dyDescent="0.15">
      <c r="B140" s="747"/>
      <c r="C140" s="747"/>
      <c r="D140" s="747"/>
      <c r="E140" s="747"/>
      <c r="F140" s="747"/>
      <c r="G140" s="747"/>
      <c r="H140" s="747"/>
      <c r="I140" s="747"/>
      <c r="J140" s="747"/>
      <c r="K140" s="747"/>
      <c r="L140" s="747"/>
      <c r="M140" s="747"/>
      <c r="N140" s="747"/>
      <c r="O140" s="747"/>
      <c r="P140" s="747"/>
      <c r="Q140" s="747"/>
      <c r="R140" s="747"/>
      <c r="S140" s="747"/>
      <c r="T140" s="747"/>
      <c r="U140" s="747"/>
      <c r="V140" s="747"/>
      <c r="W140" s="747"/>
      <c r="X140" s="747"/>
      <c r="Y140" s="747"/>
    </row>
    <row r="141" spans="2:25" x14ac:dyDescent="0.15">
      <c r="B141" s="747"/>
      <c r="C141" s="747"/>
      <c r="D141" s="747"/>
      <c r="E141" s="747"/>
      <c r="F141" s="747"/>
      <c r="G141" s="747"/>
      <c r="H141" s="747"/>
      <c r="I141" s="747"/>
      <c r="J141" s="747"/>
      <c r="K141" s="747"/>
      <c r="L141" s="747"/>
      <c r="M141" s="747"/>
      <c r="N141" s="747"/>
      <c r="O141" s="747"/>
      <c r="P141" s="747"/>
      <c r="Q141" s="747"/>
      <c r="R141" s="747"/>
      <c r="S141" s="747"/>
      <c r="T141" s="747"/>
      <c r="U141" s="747"/>
      <c r="V141" s="747"/>
      <c r="W141" s="747"/>
      <c r="X141" s="747"/>
      <c r="Y141" s="747"/>
    </row>
    <row r="142" spans="2:25" x14ac:dyDescent="0.15">
      <c r="B142" s="747"/>
      <c r="C142" s="747"/>
      <c r="D142" s="747"/>
      <c r="E142" s="747"/>
      <c r="F142" s="747"/>
      <c r="G142" s="747"/>
      <c r="H142" s="747"/>
      <c r="I142" s="747"/>
      <c r="J142" s="747"/>
      <c r="K142" s="747"/>
      <c r="L142" s="747"/>
      <c r="M142" s="747"/>
      <c r="N142" s="747"/>
      <c r="O142" s="747"/>
      <c r="P142" s="747"/>
      <c r="Q142" s="747"/>
      <c r="R142" s="747"/>
      <c r="S142" s="747"/>
      <c r="T142" s="747"/>
      <c r="U142" s="747"/>
      <c r="V142" s="747"/>
      <c r="W142" s="747"/>
      <c r="X142" s="747"/>
      <c r="Y142" s="747"/>
    </row>
    <row r="143" spans="2:25" x14ac:dyDescent="0.15">
      <c r="B143" s="747"/>
      <c r="C143" s="747"/>
      <c r="D143" s="747"/>
      <c r="E143" s="747"/>
      <c r="F143" s="747"/>
      <c r="G143" s="747"/>
      <c r="H143" s="747"/>
      <c r="I143" s="747"/>
      <c r="J143" s="747"/>
      <c r="K143" s="747"/>
      <c r="L143" s="747"/>
      <c r="M143" s="747"/>
      <c r="N143" s="747"/>
      <c r="O143" s="747"/>
      <c r="P143" s="747"/>
      <c r="Q143" s="747"/>
      <c r="R143" s="747"/>
      <c r="S143" s="747"/>
      <c r="T143" s="747"/>
      <c r="U143" s="747"/>
      <c r="V143" s="747"/>
      <c r="W143" s="747"/>
      <c r="X143" s="747"/>
      <c r="Y143" s="747"/>
    </row>
    <row r="144" spans="2:25" x14ac:dyDescent="0.15">
      <c r="B144" s="747"/>
      <c r="C144" s="747"/>
      <c r="D144" s="747"/>
      <c r="E144" s="747"/>
      <c r="F144" s="747"/>
      <c r="G144" s="747"/>
      <c r="H144" s="747"/>
      <c r="I144" s="747"/>
      <c r="J144" s="747"/>
      <c r="K144" s="747"/>
      <c r="L144" s="747"/>
      <c r="M144" s="747"/>
      <c r="N144" s="747"/>
      <c r="O144" s="747"/>
      <c r="P144" s="747"/>
      <c r="Q144" s="747"/>
      <c r="R144" s="747"/>
      <c r="S144" s="747"/>
      <c r="T144" s="747"/>
      <c r="U144" s="747"/>
      <c r="V144" s="747"/>
      <c r="W144" s="747"/>
      <c r="X144" s="747"/>
      <c r="Y144" s="747"/>
    </row>
    <row r="145" spans="2:25" x14ac:dyDescent="0.15">
      <c r="B145" s="747"/>
      <c r="C145" s="747"/>
      <c r="D145" s="747"/>
      <c r="E145" s="747"/>
      <c r="F145" s="747"/>
      <c r="G145" s="747"/>
      <c r="H145" s="747"/>
      <c r="I145" s="747"/>
      <c r="J145" s="747"/>
      <c r="K145" s="747"/>
      <c r="L145" s="747"/>
      <c r="M145" s="747"/>
      <c r="N145" s="747"/>
      <c r="O145" s="747"/>
      <c r="P145" s="747"/>
      <c r="Q145" s="747"/>
      <c r="R145" s="747"/>
      <c r="S145" s="747"/>
      <c r="T145" s="747"/>
      <c r="U145" s="747"/>
      <c r="V145" s="747"/>
      <c r="W145" s="747"/>
      <c r="X145" s="747"/>
      <c r="Y145" s="747"/>
    </row>
    <row r="146" spans="2:25" x14ac:dyDescent="0.15">
      <c r="B146" s="747"/>
      <c r="C146" s="747"/>
      <c r="D146" s="747"/>
      <c r="E146" s="747"/>
      <c r="F146" s="747"/>
      <c r="G146" s="747"/>
      <c r="H146" s="747"/>
      <c r="I146" s="747"/>
      <c r="J146" s="747"/>
      <c r="K146" s="747"/>
      <c r="L146" s="747"/>
      <c r="M146" s="747"/>
      <c r="N146" s="747"/>
      <c r="O146" s="747"/>
      <c r="P146" s="747"/>
      <c r="Q146" s="747"/>
      <c r="R146" s="747"/>
      <c r="S146" s="747"/>
      <c r="T146" s="747"/>
      <c r="U146" s="747"/>
      <c r="V146" s="747"/>
      <c r="W146" s="747"/>
      <c r="X146" s="747"/>
      <c r="Y146" s="747"/>
    </row>
    <row r="147" spans="2:25" x14ac:dyDescent="0.15">
      <c r="B147" s="747"/>
      <c r="C147" s="747"/>
      <c r="D147" s="747"/>
      <c r="E147" s="747"/>
      <c r="F147" s="747"/>
      <c r="G147" s="747"/>
      <c r="H147" s="747"/>
      <c r="I147" s="747"/>
      <c r="J147" s="747"/>
      <c r="K147" s="747"/>
      <c r="L147" s="747"/>
      <c r="M147" s="747"/>
      <c r="N147" s="747"/>
      <c r="O147" s="747"/>
      <c r="P147" s="747"/>
      <c r="Q147" s="747"/>
      <c r="R147" s="747"/>
      <c r="S147" s="747"/>
      <c r="T147" s="747"/>
      <c r="U147" s="747"/>
      <c r="V147" s="747"/>
      <c r="W147" s="747"/>
      <c r="X147" s="747"/>
      <c r="Y147" s="747"/>
    </row>
    <row r="148" spans="2:25" x14ac:dyDescent="0.15">
      <c r="B148" s="747"/>
      <c r="C148" s="747"/>
      <c r="D148" s="747"/>
      <c r="E148" s="747"/>
      <c r="F148" s="747"/>
      <c r="G148" s="747"/>
      <c r="H148" s="747"/>
      <c r="I148" s="747"/>
      <c r="J148" s="747"/>
      <c r="K148" s="747"/>
      <c r="L148" s="747"/>
      <c r="M148" s="747"/>
      <c r="N148" s="747"/>
      <c r="O148" s="747"/>
      <c r="P148" s="747"/>
      <c r="Q148" s="747"/>
      <c r="R148" s="747"/>
      <c r="S148" s="747"/>
      <c r="T148" s="747"/>
      <c r="U148" s="747"/>
      <c r="V148" s="747"/>
      <c r="W148" s="747"/>
      <c r="X148" s="747"/>
      <c r="Y148" s="747"/>
    </row>
    <row r="149" spans="2:25" x14ac:dyDescent="0.15">
      <c r="B149" s="747"/>
      <c r="C149" s="747"/>
      <c r="D149" s="747"/>
      <c r="E149" s="747"/>
      <c r="F149" s="747"/>
      <c r="G149" s="747"/>
      <c r="H149" s="747"/>
      <c r="I149" s="747"/>
      <c r="J149" s="747"/>
      <c r="K149" s="747"/>
      <c r="L149" s="747"/>
      <c r="M149" s="747"/>
      <c r="N149" s="747"/>
      <c r="O149" s="747"/>
      <c r="P149" s="747"/>
      <c r="Q149" s="747"/>
      <c r="R149" s="747"/>
      <c r="S149" s="747"/>
      <c r="T149" s="747"/>
      <c r="U149" s="747"/>
      <c r="V149" s="747"/>
      <c r="W149" s="747"/>
      <c r="X149" s="747"/>
      <c r="Y149" s="747"/>
    </row>
    <row r="150" spans="2:25" x14ac:dyDescent="0.15">
      <c r="B150" s="747"/>
      <c r="C150" s="747"/>
      <c r="D150" s="747"/>
      <c r="E150" s="747"/>
      <c r="F150" s="747"/>
      <c r="G150" s="747"/>
      <c r="H150" s="747"/>
      <c r="I150" s="747"/>
      <c r="J150" s="747"/>
      <c r="K150" s="747"/>
      <c r="L150" s="747"/>
      <c r="M150" s="747"/>
      <c r="N150" s="747"/>
      <c r="O150" s="747"/>
      <c r="P150" s="747"/>
      <c r="Q150" s="747"/>
      <c r="R150" s="747"/>
      <c r="S150" s="747"/>
      <c r="T150" s="747"/>
      <c r="U150" s="747"/>
      <c r="V150" s="747"/>
      <c r="W150" s="747"/>
      <c r="X150" s="747"/>
      <c r="Y150" s="747"/>
    </row>
    <row r="151" spans="2:25" x14ac:dyDescent="0.15">
      <c r="B151" s="747"/>
      <c r="C151" s="747"/>
      <c r="D151" s="747"/>
      <c r="E151" s="747"/>
      <c r="F151" s="747"/>
      <c r="G151" s="747"/>
      <c r="H151" s="747"/>
      <c r="I151" s="747"/>
      <c r="J151" s="747"/>
      <c r="K151" s="747"/>
      <c r="L151" s="747"/>
      <c r="M151" s="747"/>
      <c r="N151" s="747"/>
      <c r="O151" s="747"/>
      <c r="P151" s="747"/>
      <c r="Q151" s="747"/>
      <c r="R151" s="747"/>
      <c r="S151" s="747"/>
      <c r="T151" s="747"/>
      <c r="U151" s="747"/>
      <c r="V151" s="747"/>
      <c r="W151" s="747"/>
      <c r="X151" s="747"/>
      <c r="Y151" s="747"/>
    </row>
    <row r="152" spans="2:25" x14ac:dyDescent="0.15">
      <c r="B152" s="747"/>
      <c r="C152" s="747"/>
      <c r="D152" s="747"/>
      <c r="E152" s="747"/>
      <c r="F152" s="747"/>
      <c r="G152" s="747"/>
      <c r="H152" s="747"/>
      <c r="I152" s="747"/>
      <c r="J152" s="747"/>
      <c r="K152" s="747"/>
      <c r="L152" s="747"/>
      <c r="M152" s="747"/>
      <c r="N152" s="747"/>
      <c r="O152" s="747"/>
      <c r="P152" s="747"/>
      <c r="Q152" s="747"/>
      <c r="R152" s="747"/>
      <c r="S152" s="747"/>
      <c r="T152" s="747"/>
      <c r="U152" s="747"/>
      <c r="V152" s="747"/>
      <c r="W152" s="747"/>
      <c r="X152" s="747"/>
      <c r="Y152" s="747"/>
    </row>
    <row r="153" spans="2:25" x14ac:dyDescent="0.15">
      <c r="B153" s="747"/>
      <c r="C153" s="747"/>
      <c r="D153" s="747"/>
      <c r="E153" s="747"/>
      <c r="F153" s="747"/>
      <c r="G153" s="747"/>
      <c r="H153" s="747"/>
      <c r="I153" s="747"/>
      <c r="J153" s="747"/>
      <c r="K153" s="747"/>
      <c r="L153" s="747"/>
      <c r="M153" s="747"/>
      <c r="N153" s="747"/>
      <c r="O153" s="747"/>
      <c r="P153" s="747"/>
      <c r="Q153" s="747"/>
      <c r="R153" s="747"/>
      <c r="S153" s="747"/>
      <c r="T153" s="747"/>
      <c r="U153" s="747"/>
      <c r="V153" s="747"/>
      <c r="W153" s="747"/>
      <c r="X153" s="747"/>
      <c r="Y153" s="747"/>
    </row>
    <row r="154" spans="2:25" x14ac:dyDescent="0.15">
      <c r="B154" s="747"/>
      <c r="C154" s="747"/>
      <c r="D154" s="747"/>
      <c r="E154" s="747"/>
      <c r="F154" s="747"/>
      <c r="G154" s="747"/>
      <c r="H154" s="747"/>
      <c r="I154" s="747"/>
      <c r="J154" s="747"/>
      <c r="K154" s="747"/>
      <c r="L154" s="747"/>
      <c r="M154" s="747"/>
      <c r="N154" s="747"/>
      <c r="O154" s="747"/>
      <c r="P154" s="747"/>
      <c r="Q154" s="747"/>
      <c r="R154" s="747"/>
      <c r="S154" s="747"/>
      <c r="T154" s="747"/>
      <c r="U154" s="747"/>
      <c r="V154" s="747"/>
      <c r="W154" s="747"/>
      <c r="X154" s="747"/>
      <c r="Y154" s="747"/>
    </row>
    <row r="155" spans="2:25" x14ac:dyDescent="0.15">
      <c r="B155" s="747"/>
      <c r="C155" s="747"/>
      <c r="D155" s="747"/>
      <c r="E155" s="747"/>
      <c r="F155" s="747"/>
      <c r="G155" s="747"/>
      <c r="H155" s="747"/>
      <c r="I155" s="747"/>
      <c r="J155" s="747"/>
      <c r="K155" s="747"/>
      <c r="L155" s="747"/>
      <c r="M155" s="747"/>
      <c r="N155" s="747"/>
      <c r="O155" s="747"/>
      <c r="P155" s="747"/>
      <c r="Q155" s="747"/>
      <c r="R155" s="747"/>
      <c r="S155" s="747"/>
      <c r="T155" s="747"/>
      <c r="U155" s="747"/>
      <c r="V155" s="747"/>
      <c r="W155" s="747"/>
      <c r="X155" s="747"/>
      <c r="Y155" s="747"/>
    </row>
    <row r="156" spans="2:25" x14ac:dyDescent="0.15">
      <c r="B156" s="747"/>
      <c r="C156" s="747"/>
      <c r="D156" s="747"/>
      <c r="E156" s="747"/>
      <c r="F156" s="747"/>
      <c r="G156" s="747"/>
      <c r="H156" s="747"/>
      <c r="I156" s="747"/>
      <c r="J156" s="747"/>
      <c r="K156" s="747"/>
      <c r="L156" s="747"/>
      <c r="M156" s="747"/>
      <c r="N156" s="747"/>
      <c r="O156" s="747"/>
      <c r="P156" s="747"/>
      <c r="Q156" s="747"/>
      <c r="R156" s="747"/>
      <c r="S156" s="747"/>
      <c r="T156" s="747"/>
      <c r="U156" s="747"/>
      <c r="V156" s="747"/>
      <c r="W156" s="747"/>
      <c r="X156" s="747"/>
      <c r="Y156" s="747"/>
    </row>
    <row r="157" spans="2:25" x14ac:dyDescent="0.15">
      <c r="B157" s="747"/>
      <c r="C157" s="747"/>
      <c r="D157" s="747"/>
      <c r="E157" s="747"/>
      <c r="F157" s="747"/>
      <c r="G157" s="747"/>
      <c r="H157" s="747"/>
      <c r="I157" s="747"/>
      <c r="J157" s="747"/>
      <c r="K157" s="747"/>
      <c r="L157" s="747"/>
      <c r="M157" s="747"/>
      <c r="N157" s="747"/>
      <c r="O157" s="747"/>
      <c r="P157" s="747"/>
      <c r="Q157" s="747"/>
      <c r="R157" s="747"/>
      <c r="S157" s="747"/>
      <c r="T157" s="747"/>
      <c r="U157" s="747"/>
      <c r="V157" s="747"/>
      <c r="W157" s="747"/>
      <c r="X157" s="747"/>
      <c r="Y157" s="747"/>
    </row>
    <row r="158" spans="2:25" x14ac:dyDescent="0.15">
      <c r="B158" s="747"/>
      <c r="C158" s="747"/>
      <c r="D158" s="747"/>
      <c r="E158" s="747"/>
      <c r="F158" s="747"/>
      <c r="G158" s="747"/>
      <c r="H158" s="747"/>
      <c r="I158" s="747"/>
      <c r="J158" s="747"/>
      <c r="K158" s="747"/>
      <c r="L158" s="747"/>
      <c r="M158" s="747"/>
      <c r="N158" s="747"/>
      <c r="O158" s="747"/>
      <c r="P158" s="747"/>
      <c r="Q158" s="747"/>
      <c r="R158" s="747"/>
      <c r="S158" s="747"/>
      <c r="T158" s="747"/>
      <c r="U158" s="747"/>
      <c r="V158" s="747"/>
      <c r="W158" s="747"/>
      <c r="X158" s="747"/>
      <c r="Y158" s="747"/>
    </row>
    <row r="159" spans="2:25" x14ac:dyDescent="0.15">
      <c r="B159" s="747"/>
      <c r="C159" s="747"/>
      <c r="D159" s="747"/>
      <c r="E159" s="747"/>
      <c r="F159" s="747"/>
      <c r="G159" s="747"/>
      <c r="H159" s="747"/>
      <c r="I159" s="747"/>
      <c r="J159" s="747"/>
      <c r="K159" s="747"/>
      <c r="L159" s="747"/>
      <c r="M159" s="747"/>
      <c r="N159" s="747"/>
      <c r="O159" s="747"/>
      <c r="P159" s="747"/>
      <c r="Q159" s="747"/>
      <c r="R159" s="747"/>
      <c r="S159" s="747"/>
      <c r="T159" s="747"/>
      <c r="U159" s="747"/>
      <c r="V159" s="747"/>
      <c r="W159" s="747"/>
      <c r="X159" s="747"/>
      <c r="Y159" s="747"/>
    </row>
    <row r="160" spans="2:25" x14ac:dyDescent="0.15">
      <c r="B160" s="747"/>
      <c r="C160" s="747"/>
      <c r="D160" s="747"/>
      <c r="E160" s="747"/>
      <c r="F160" s="747"/>
      <c r="G160" s="747"/>
      <c r="H160" s="747"/>
      <c r="I160" s="747"/>
      <c r="J160" s="747"/>
      <c r="K160" s="747"/>
      <c r="L160" s="747"/>
      <c r="M160" s="747"/>
      <c r="N160" s="747"/>
      <c r="O160" s="747"/>
      <c r="P160" s="747"/>
      <c r="Q160" s="747"/>
      <c r="R160" s="747"/>
      <c r="S160" s="747"/>
      <c r="T160" s="747"/>
      <c r="U160" s="747"/>
      <c r="V160" s="747"/>
      <c r="W160" s="747"/>
      <c r="X160" s="747"/>
      <c r="Y160" s="747"/>
    </row>
    <row r="161" spans="2:25" x14ac:dyDescent="0.15">
      <c r="B161" s="747"/>
      <c r="C161" s="747"/>
      <c r="D161" s="747"/>
      <c r="E161" s="747"/>
      <c r="F161" s="747"/>
      <c r="G161" s="747"/>
      <c r="H161" s="747"/>
      <c r="I161" s="747"/>
      <c r="J161" s="747"/>
      <c r="K161" s="747"/>
      <c r="L161" s="747"/>
      <c r="M161" s="747"/>
      <c r="N161" s="747"/>
      <c r="O161" s="747"/>
      <c r="P161" s="747"/>
      <c r="Q161" s="747"/>
      <c r="R161" s="747"/>
      <c r="S161" s="747"/>
      <c r="T161" s="747"/>
      <c r="U161" s="747"/>
      <c r="V161" s="747"/>
      <c r="W161" s="747"/>
      <c r="X161" s="747"/>
      <c r="Y161" s="747"/>
    </row>
    <row r="162" spans="2:25" x14ac:dyDescent="0.15">
      <c r="B162" s="747"/>
      <c r="C162" s="747"/>
      <c r="D162" s="747"/>
      <c r="E162" s="747"/>
      <c r="F162" s="747"/>
      <c r="G162" s="747"/>
      <c r="H162" s="747"/>
      <c r="I162" s="747"/>
      <c r="J162" s="747"/>
      <c r="K162" s="747"/>
      <c r="L162" s="747"/>
      <c r="M162" s="747"/>
      <c r="N162" s="747"/>
      <c r="O162" s="747"/>
      <c r="P162" s="747"/>
      <c r="Q162" s="747"/>
      <c r="R162" s="747"/>
      <c r="S162" s="747"/>
      <c r="T162" s="747"/>
      <c r="U162" s="747"/>
      <c r="V162" s="747"/>
      <c r="W162" s="747"/>
      <c r="X162" s="747"/>
      <c r="Y162" s="747"/>
    </row>
    <row r="163" spans="2:25" x14ac:dyDescent="0.15">
      <c r="B163" s="747"/>
      <c r="C163" s="747"/>
      <c r="D163" s="747"/>
      <c r="E163" s="747"/>
      <c r="F163" s="747"/>
      <c r="G163" s="747"/>
      <c r="H163" s="747"/>
      <c r="I163" s="747"/>
      <c r="J163" s="747"/>
      <c r="K163" s="747"/>
      <c r="L163" s="747"/>
      <c r="M163" s="747"/>
      <c r="N163" s="747"/>
      <c r="O163" s="747"/>
      <c r="P163" s="747"/>
      <c r="Q163" s="747"/>
      <c r="R163" s="747"/>
      <c r="S163" s="747"/>
      <c r="T163" s="747"/>
      <c r="U163" s="747"/>
      <c r="V163" s="747"/>
      <c r="W163" s="747"/>
      <c r="X163" s="747"/>
      <c r="Y163" s="747"/>
    </row>
    <row r="164" spans="2:25" x14ac:dyDescent="0.15">
      <c r="B164" s="747"/>
      <c r="C164" s="747"/>
      <c r="D164" s="747"/>
      <c r="E164" s="747"/>
      <c r="F164" s="747"/>
      <c r="G164" s="747"/>
      <c r="H164" s="747"/>
      <c r="I164" s="747"/>
      <c r="J164" s="747"/>
      <c r="K164" s="747"/>
      <c r="L164" s="747"/>
      <c r="M164" s="747"/>
      <c r="N164" s="747"/>
      <c r="O164" s="747"/>
      <c r="P164" s="747"/>
      <c r="Q164" s="747"/>
      <c r="R164" s="747"/>
      <c r="S164" s="747"/>
      <c r="T164" s="747"/>
      <c r="U164" s="747"/>
      <c r="V164" s="747"/>
      <c r="W164" s="747"/>
      <c r="X164" s="747"/>
      <c r="Y164" s="747"/>
    </row>
    <row r="165" spans="2:25" x14ac:dyDescent="0.15">
      <c r="B165" s="747"/>
      <c r="C165" s="747"/>
      <c r="D165" s="747"/>
      <c r="E165" s="747"/>
      <c r="F165" s="747"/>
      <c r="G165" s="747"/>
      <c r="H165" s="747"/>
      <c r="I165" s="747"/>
      <c r="J165" s="747"/>
      <c r="K165" s="747"/>
      <c r="L165" s="747"/>
      <c r="M165" s="747"/>
      <c r="N165" s="747"/>
      <c r="O165" s="747"/>
      <c r="P165" s="747"/>
      <c r="Q165" s="747"/>
      <c r="R165" s="747"/>
      <c r="S165" s="747"/>
      <c r="T165" s="747"/>
      <c r="U165" s="747"/>
      <c r="V165" s="747"/>
      <c r="W165" s="747"/>
      <c r="X165" s="747"/>
      <c r="Y165" s="747"/>
    </row>
    <row r="166" spans="2:25" x14ac:dyDescent="0.15">
      <c r="B166" s="747"/>
      <c r="C166" s="747"/>
      <c r="D166" s="747"/>
      <c r="E166" s="747"/>
      <c r="F166" s="747"/>
      <c r="G166" s="747"/>
      <c r="H166" s="747"/>
      <c r="I166" s="747"/>
      <c r="J166" s="747"/>
      <c r="K166" s="747"/>
      <c r="L166" s="747"/>
      <c r="M166" s="747"/>
      <c r="N166" s="747"/>
      <c r="O166" s="747"/>
      <c r="P166" s="747"/>
      <c r="Q166" s="747"/>
      <c r="R166" s="747"/>
      <c r="S166" s="747"/>
      <c r="T166" s="747"/>
      <c r="U166" s="747"/>
      <c r="V166" s="747"/>
      <c r="W166" s="747"/>
      <c r="X166" s="747"/>
      <c r="Y166" s="747"/>
    </row>
    <row r="167" spans="2:25" x14ac:dyDescent="0.15">
      <c r="B167" s="747"/>
      <c r="C167" s="747"/>
      <c r="D167" s="747"/>
      <c r="E167" s="747"/>
      <c r="F167" s="747"/>
      <c r="G167" s="747"/>
      <c r="H167" s="747"/>
      <c r="I167" s="747"/>
      <c r="J167" s="747"/>
      <c r="K167" s="747"/>
      <c r="L167" s="747"/>
      <c r="M167" s="747"/>
      <c r="N167" s="747"/>
      <c r="O167" s="747"/>
      <c r="P167" s="747"/>
      <c r="Q167" s="747"/>
      <c r="R167" s="747"/>
      <c r="S167" s="747"/>
      <c r="T167" s="747"/>
      <c r="U167" s="747"/>
      <c r="V167" s="747"/>
      <c r="W167" s="747"/>
      <c r="X167" s="747"/>
      <c r="Y167" s="747"/>
    </row>
    <row r="168" spans="2:25" x14ac:dyDescent="0.15">
      <c r="B168" s="747"/>
      <c r="C168" s="747"/>
      <c r="D168" s="747"/>
      <c r="E168" s="747"/>
      <c r="F168" s="747"/>
      <c r="G168" s="747"/>
      <c r="H168" s="747"/>
      <c r="I168" s="747"/>
      <c r="J168" s="747"/>
      <c r="K168" s="747"/>
      <c r="L168" s="747"/>
      <c r="M168" s="747"/>
      <c r="N168" s="747"/>
      <c r="O168" s="747"/>
      <c r="P168" s="747"/>
      <c r="Q168" s="747"/>
      <c r="R168" s="747"/>
      <c r="S168" s="747"/>
      <c r="T168" s="747"/>
      <c r="U168" s="747"/>
      <c r="V168" s="747"/>
      <c r="W168" s="747"/>
      <c r="X168" s="747"/>
      <c r="Y168" s="747"/>
    </row>
    <row r="169" spans="2:25" x14ac:dyDescent="0.15">
      <c r="B169" s="747"/>
      <c r="C169" s="747"/>
      <c r="D169" s="747"/>
      <c r="E169" s="747"/>
      <c r="F169" s="747"/>
      <c r="G169" s="747"/>
      <c r="H169" s="747"/>
      <c r="I169" s="747"/>
      <c r="J169" s="747"/>
      <c r="K169" s="747"/>
      <c r="L169" s="747"/>
      <c r="M169" s="747"/>
      <c r="N169" s="747"/>
      <c r="O169" s="747"/>
      <c r="P169" s="747"/>
      <c r="Q169" s="747"/>
      <c r="R169" s="747"/>
      <c r="S169" s="747"/>
      <c r="T169" s="747"/>
      <c r="U169" s="747"/>
      <c r="V169" s="747"/>
      <c r="W169" s="747"/>
      <c r="X169" s="747"/>
      <c r="Y169" s="747"/>
    </row>
    <row r="170" spans="2:25" x14ac:dyDescent="0.15">
      <c r="B170" s="747"/>
      <c r="C170" s="747"/>
      <c r="D170" s="747"/>
      <c r="E170" s="747"/>
      <c r="F170" s="747"/>
      <c r="G170" s="747"/>
      <c r="H170" s="747"/>
      <c r="I170" s="747"/>
      <c r="J170" s="747"/>
      <c r="K170" s="747"/>
      <c r="L170" s="747"/>
      <c r="M170" s="747"/>
      <c r="N170" s="747"/>
      <c r="O170" s="747"/>
      <c r="P170" s="747"/>
      <c r="Q170" s="747"/>
      <c r="R170" s="747"/>
      <c r="S170" s="747"/>
      <c r="T170" s="747"/>
      <c r="U170" s="747"/>
      <c r="V170" s="747"/>
      <c r="W170" s="747"/>
      <c r="X170" s="747"/>
      <c r="Y170" s="747"/>
    </row>
    <row r="171" spans="2:25" x14ac:dyDescent="0.15">
      <c r="B171" s="747"/>
      <c r="C171" s="747"/>
      <c r="D171" s="747"/>
      <c r="E171" s="747"/>
      <c r="F171" s="747"/>
      <c r="G171" s="747"/>
      <c r="H171" s="747"/>
      <c r="I171" s="747"/>
      <c r="J171" s="747"/>
      <c r="K171" s="747"/>
      <c r="L171" s="747"/>
      <c r="M171" s="747"/>
      <c r="N171" s="747"/>
      <c r="O171" s="747"/>
      <c r="P171" s="747"/>
      <c r="Q171" s="747"/>
      <c r="R171" s="747"/>
      <c r="S171" s="747"/>
      <c r="T171" s="747"/>
      <c r="U171" s="747"/>
      <c r="V171" s="747"/>
      <c r="W171" s="747"/>
      <c r="X171" s="747"/>
      <c r="Y171" s="747"/>
    </row>
    <row r="172" spans="2:25" x14ac:dyDescent="0.15">
      <c r="B172" s="747"/>
      <c r="C172" s="747"/>
      <c r="D172" s="747"/>
      <c r="E172" s="747"/>
      <c r="F172" s="747"/>
      <c r="G172" s="747"/>
      <c r="H172" s="747"/>
      <c r="I172" s="747"/>
      <c r="J172" s="747"/>
      <c r="K172" s="747"/>
      <c r="L172" s="747"/>
      <c r="M172" s="747"/>
      <c r="N172" s="747"/>
      <c r="O172" s="747"/>
      <c r="P172" s="747"/>
      <c r="Q172" s="747"/>
      <c r="R172" s="747"/>
      <c r="S172" s="747"/>
      <c r="T172" s="747"/>
      <c r="U172" s="747"/>
      <c r="V172" s="747"/>
      <c r="W172" s="747"/>
      <c r="X172" s="747"/>
      <c r="Y172" s="747"/>
    </row>
    <row r="173" spans="2:25" x14ac:dyDescent="0.15">
      <c r="B173" s="747"/>
      <c r="C173" s="747"/>
      <c r="D173" s="747"/>
      <c r="E173" s="747"/>
      <c r="F173" s="747"/>
      <c r="G173" s="747"/>
      <c r="H173" s="747"/>
      <c r="I173" s="747"/>
      <c r="J173" s="747"/>
      <c r="K173" s="747"/>
      <c r="L173" s="747"/>
      <c r="M173" s="747"/>
      <c r="N173" s="747"/>
      <c r="O173" s="747"/>
      <c r="P173" s="747"/>
      <c r="Q173" s="747"/>
      <c r="R173" s="747"/>
      <c r="S173" s="747"/>
      <c r="T173" s="747"/>
      <c r="U173" s="747"/>
      <c r="V173" s="747"/>
      <c r="W173" s="747"/>
      <c r="X173" s="747"/>
      <c r="Y173" s="747"/>
    </row>
    <row r="174" spans="2:25" x14ac:dyDescent="0.15">
      <c r="B174" s="747"/>
      <c r="C174" s="747"/>
      <c r="D174" s="747"/>
      <c r="E174" s="747"/>
      <c r="F174" s="747"/>
      <c r="G174" s="747"/>
      <c r="H174" s="747"/>
      <c r="I174" s="747"/>
      <c r="J174" s="747"/>
      <c r="K174" s="747"/>
      <c r="L174" s="747"/>
      <c r="M174" s="747"/>
      <c r="N174" s="747"/>
      <c r="O174" s="747"/>
      <c r="P174" s="747"/>
      <c r="Q174" s="747"/>
      <c r="R174" s="747"/>
      <c r="S174" s="747"/>
      <c r="T174" s="747"/>
      <c r="U174" s="747"/>
      <c r="V174" s="747"/>
      <c r="W174" s="747"/>
      <c r="X174" s="747"/>
      <c r="Y174" s="747"/>
    </row>
    <row r="175" spans="2:25" x14ac:dyDescent="0.15">
      <c r="B175" s="747"/>
      <c r="C175" s="747"/>
      <c r="D175" s="747"/>
      <c r="E175" s="747"/>
      <c r="F175" s="747"/>
      <c r="G175" s="747"/>
      <c r="H175" s="747"/>
      <c r="I175" s="747"/>
      <c r="J175" s="747"/>
      <c r="K175" s="747"/>
      <c r="L175" s="747"/>
      <c r="M175" s="747"/>
      <c r="N175" s="747"/>
      <c r="O175" s="747"/>
      <c r="P175" s="747"/>
      <c r="Q175" s="747"/>
      <c r="R175" s="747"/>
      <c r="S175" s="747"/>
      <c r="T175" s="747"/>
      <c r="U175" s="747"/>
      <c r="V175" s="747"/>
      <c r="W175" s="747"/>
      <c r="X175" s="747"/>
      <c r="Y175" s="747"/>
    </row>
    <row r="176" spans="2:25" x14ac:dyDescent="0.15">
      <c r="B176" s="747"/>
      <c r="C176" s="747"/>
      <c r="D176" s="747"/>
      <c r="E176" s="747"/>
      <c r="F176" s="747"/>
      <c r="G176" s="747"/>
      <c r="H176" s="747"/>
      <c r="I176" s="747"/>
      <c r="J176" s="747"/>
      <c r="K176" s="747"/>
      <c r="L176" s="747"/>
      <c r="M176" s="747"/>
      <c r="N176" s="747"/>
      <c r="O176" s="747"/>
      <c r="P176" s="747"/>
      <c r="Q176" s="747"/>
      <c r="R176" s="747"/>
      <c r="S176" s="747"/>
      <c r="T176" s="747"/>
      <c r="U176" s="747"/>
      <c r="V176" s="747"/>
      <c r="W176" s="747"/>
      <c r="X176" s="747"/>
      <c r="Y176" s="747"/>
    </row>
    <row r="177" spans="2:25" x14ac:dyDescent="0.15">
      <c r="B177" s="747"/>
      <c r="C177" s="747"/>
      <c r="D177" s="747"/>
      <c r="E177" s="747"/>
      <c r="F177" s="747"/>
      <c r="G177" s="747"/>
      <c r="H177" s="747"/>
      <c r="I177" s="747"/>
      <c r="J177" s="747"/>
      <c r="K177" s="747"/>
      <c r="L177" s="747"/>
      <c r="M177" s="747"/>
      <c r="N177" s="747"/>
      <c r="O177" s="747"/>
      <c r="P177" s="747"/>
      <c r="Q177" s="747"/>
      <c r="R177" s="747"/>
      <c r="S177" s="747"/>
      <c r="T177" s="747"/>
      <c r="U177" s="747"/>
      <c r="V177" s="747"/>
      <c r="W177" s="747"/>
      <c r="X177" s="747"/>
      <c r="Y177" s="747"/>
    </row>
    <row r="178" spans="2:25" x14ac:dyDescent="0.15">
      <c r="B178" s="747"/>
      <c r="C178" s="747"/>
      <c r="D178" s="747"/>
      <c r="E178" s="747"/>
      <c r="F178" s="747"/>
      <c r="G178" s="747"/>
      <c r="H178" s="747"/>
      <c r="I178" s="747"/>
      <c r="J178" s="747"/>
      <c r="K178" s="747"/>
      <c r="L178" s="747"/>
      <c r="M178" s="747"/>
      <c r="N178" s="747"/>
      <c r="O178" s="747"/>
      <c r="P178" s="747"/>
      <c r="Q178" s="747"/>
      <c r="R178" s="747"/>
      <c r="S178" s="747"/>
      <c r="T178" s="747"/>
      <c r="U178" s="747"/>
      <c r="V178" s="747"/>
      <c r="W178" s="747"/>
      <c r="X178" s="747"/>
      <c r="Y178" s="747"/>
    </row>
    <row r="179" spans="2:25" x14ac:dyDescent="0.15">
      <c r="B179" s="747"/>
      <c r="C179" s="747"/>
      <c r="D179" s="747"/>
      <c r="E179" s="747"/>
      <c r="F179" s="747"/>
      <c r="G179" s="747"/>
      <c r="H179" s="747"/>
      <c r="I179" s="747"/>
      <c r="J179" s="747"/>
      <c r="K179" s="747"/>
      <c r="L179" s="747"/>
      <c r="M179" s="747"/>
      <c r="N179" s="747"/>
      <c r="O179" s="747"/>
      <c r="P179" s="747"/>
      <c r="Q179" s="747"/>
      <c r="R179" s="747"/>
      <c r="S179" s="747"/>
      <c r="T179" s="747"/>
      <c r="U179" s="747"/>
      <c r="V179" s="747"/>
      <c r="W179" s="747"/>
      <c r="X179" s="747"/>
      <c r="Y179" s="747"/>
    </row>
    <row r="180" spans="2:25" x14ac:dyDescent="0.15">
      <c r="B180" s="747"/>
      <c r="C180" s="747"/>
      <c r="D180" s="747"/>
      <c r="E180" s="747"/>
      <c r="F180" s="747"/>
      <c r="G180" s="747"/>
      <c r="H180" s="747"/>
      <c r="I180" s="747"/>
      <c r="J180" s="747"/>
      <c r="K180" s="747"/>
      <c r="L180" s="747"/>
      <c r="M180" s="747"/>
      <c r="N180" s="747"/>
      <c r="O180" s="747"/>
      <c r="P180" s="747"/>
      <c r="Q180" s="747"/>
      <c r="R180" s="747"/>
      <c r="S180" s="747"/>
      <c r="T180" s="747"/>
      <c r="U180" s="747"/>
      <c r="V180" s="747"/>
      <c r="W180" s="747"/>
      <c r="X180" s="747"/>
      <c r="Y180" s="747"/>
    </row>
    <row r="181" spans="2:25" x14ac:dyDescent="0.15">
      <c r="B181" s="747"/>
      <c r="C181" s="747"/>
      <c r="D181" s="747"/>
      <c r="E181" s="747"/>
      <c r="F181" s="747"/>
      <c r="G181" s="747"/>
      <c r="H181" s="747"/>
      <c r="I181" s="747"/>
      <c r="J181" s="747"/>
      <c r="K181" s="747"/>
      <c r="L181" s="747"/>
      <c r="M181" s="747"/>
      <c r="N181" s="747"/>
      <c r="O181" s="747"/>
      <c r="P181" s="747"/>
      <c r="Q181" s="747"/>
      <c r="R181" s="747"/>
      <c r="S181" s="747"/>
      <c r="T181" s="747"/>
      <c r="U181" s="747"/>
      <c r="V181" s="747"/>
      <c r="W181" s="747"/>
      <c r="X181" s="747"/>
      <c r="Y181" s="747"/>
    </row>
    <row r="182" spans="2:25" x14ac:dyDescent="0.15">
      <c r="B182" s="747"/>
      <c r="C182" s="747"/>
      <c r="D182" s="747"/>
      <c r="E182" s="747"/>
      <c r="F182" s="747"/>
      <c r="G182" s="747"/>
      <c r="H182" s="747"/>
      <c r="I182" s="747"/>
      <c r="J182" s="747"/>
      <c r="K182" s="747"/>
      <c r="L182" s="747"/>
      <c r="M182" s="747"/>
      <c r="N182" s="747"/>
      <c r="O182" s="747"/>
      <c r="P182" s="747"/>
      <c r="Q182" s="747"/>
      <c r="R182" s="747"/>
      <c r="S182" s="747"/>
      <c r="T182" s="747"/>
      <c r="U182" s="747"/>
      <c r="V182" s="747"/>
      <c r="W182" s="747"/>
      <c r="X182" s="747"/>
      <c r="Y182" s="747"/>
    </row>
    <row r="183" spans="2:25" x14ac:dyDescent="0.15">
      <c r="B183" s="747"/>
      <c r="C183" s="747"/>
      <c r="D183" s="747"/>
      <c r="E183" s="747"/>
      <c r="F183" s="747"/>
      <c r="G183" s="747"/>
      <c r="H183" s="747"/>
      <c r="I183" s="747"/>
      <c r="J183" s="747"/>
      <c r="K183" s="747"/>
      <c r="L183" s="747"/>
      <c r="M183" s="747"/>
      <c r="N183" s="747"/>
      <c r="O183" s="747"/>
      <c r="P183" s="747"/>
      <c r="Q183" s="747"/>
      <c r="R183" s="747"/>
      <c r="S183" s="747"/>
      <c r="T183" s="747"/>
      <c r="U183" s="747"/>
      <c r="V183" s="747"/>
      <c r="W183" s="747"/>
      <c r="X183" s="747"/>
      <c r="Y183" s="747"/>
    </row>
    <row r="184" spans="2:25" x14ac:dyDescent="0.15">
      <c r="B184" s="747"/>
      <c r="C184" s="747"/>
      <c r="D184" s="747"/>
      <c r="E184" s="747"/>
      <c r="F184" s="747"/>
      <c r="G184" s="747"/>
      <c r="H184" s="747"/>
      <c r="I184" s="747"/>
      <c r="J184" s="747"/>
      <c r="K184" s="747"/>
      <c r="L184" s="747"/>
      <c r="M184" s="747"/>
      <c r="N184" s="747"/>
      <c r="O184" s="747"/>
      <c r="P184" s="747"/>
      <c r="Q184" s="747"/>
      <c r="R184" s="747"/>
      <c r="S184" s="747"/>
      <c r="T184" s="747"/>
      <c r="U184" s="747"/>
      <c r="V184" s="747"/>
      <c r="W184" s="747"/>
      <c r="X184" s="747"/>
      <c r="Y184" s="747"/>
    </row>
    <row r="185" spans="2:25" x14ac:dyDescent="0.15">
      <c r="B185" s="747"/>
      <c r="C185" s="747"/>
      <c r="D185" s="747"/>
      <c r="E185" s="747"/>
      <c r="F185" s="747"/>
      <c r="G185" s="747"/>
      <c r="H185" s="747"/>
      <c r="I185" s="747"/>
      <c r="J185" s="747"/>
      <c r="K185" s="747"/>
      <c r="L185" s="747"/>
      <c r="M185" s="747"/>
      <c r="N185" s="747"/>
      <c r="O185" s="747"/>
      <c r="P185" s="747"/>
      <c r="Q185" s="747"/>
      <c r="R185" s="747"/>
      <c r="S185" s="747"/>
      <c r="T185" s="747"/>
      <c r="U185" s="747"/>
      <c r="V185" s="747"/>
      <c r="W185" s="747"/>
      <c r="X185" s="747"/>
      <c r="Y185" s="747"/>
    </row>
    <row r="186" spans="2:25" x14ac:dyDescent="0.15">
      <c r="B186" s="747"/>
      <c r="C186" s="747"/>
      <c r="D186" s="747"/>
      <c r="E186" s="747"/>
      <c r="F186" s="747"/>
      <c r="G186" s="747"/>
      <c r="H186" s="747"/>
      <c r="I186" s="747"/>
      <c r="J186" s="747"/>
      <c r="K186" s="747"/>
      <c r="L186" s="747"/>
      <c r="M186" s="747"/>
      <c r="N186" s="747"/>
      <c r="O186" s="747"/>
      <c r="P186" s="747"/>
      <c r="Q186" s="747"/>
      <c r="R186" s="747"/>
      <c r="S186" s="747"/>
      <c r="T186" s="747"/>
      <c r="U186" s="747"/>
      <c r="V186" s="747"/>
      <c r="W186" s="747"/>
      <c r="X186" s="747"/>
      <c r="Y186" s="747"/>
    </row>
    <row r="187" spans="2:25" x14ac:dyDescent="0.15">
      <c r="B187" s="747"/>
      <c r="C187" s="747"/>
      <c r="D187" s="747"/>
      <c r="E187" s="747"/>
      <c r="F187" s="747"/>
      <c r="G187" s="747"/>
      <c r="H187" s="747"/>
      <c r="I187" s="747"/>
      <c r="J187" s="747"/>
      <c r="K187" s="747"/>
      <c r="L187" s="747"/>
      <c r="M187" s="747"/>
      <c r="N187" s="747"/>
      <c r="O187" s="747"/>
      <c r="P187" s="747"/>
      <c r="Q187" s="747"/>
      <c r="R187" s="747"/>
      <c r="S187" s="747"/>
      <c r="T187" s="747"/>
      <c r="U187" s="747"/>
      <c r="V187" s="747"/>
      <c r="W187" s="747"/>
      <c r="X187" s="747"/>
      <c r="Y187" s="747"/>
    </row>
    <row r="188" spans="2:25" x14ac:dyDescent="0.15">
      <c r="B188" s="747"/>
      <c r="C188" s="747"/>
      <c r="D188" s="747"/>
      <c r="E188" s="747"/>
      <c r="F188" s="747"/>
      <c r="G188" s="747"/>
      <c r="H188" s="747"/>
      <c r="I188" s="747"/>
      <c r="J188" s="747"/>
      <c r="K188" s="747"/>
      <c r="L188" s="747"/>
      <c r="M188" s="747"/>
      <c r="N188" s="747"/>
      <c r="O188" s="747"/>
      <c r="P188" s="747"/>
      <c r="Q188" s="747"/>
      <c r="R188" s="747"/>
      <c r="S188" s="747"/>
      <c r="T188" s="747"/>
      <c r="U188" s="747"/>
      <c r="V188" s="747"/>
      <c r="W188" s="747"/>
      <c r="X188" s="747"/>
      <c r="Y188" s="747"/>
    </row>
    <row r="189" spans="2:25" x14ac:dyDescent="0.15">
      <c r="B189" s="747"/>
      <c r="C189" s="747"/>
      <c r="D189" s="747"/>
      <c r="E189" s="747"/>
      <c r="F189" s="747"/>
      <c r="G189" s="747"/>
      <c r="H189" s="747"/>
      <c r="I189" s="747"/>
      <c r="J189" s="747"/>
      <c r="K189" s="747"/>
      <c r="L189" s="747"/>
      <c r="M189" s="747"/>
      <c r="N189" s="747"/>
      <c r="O189" s="747"/>
      <c r="P189" s="747"/>
      <c r="Q189" s="747"/>
      <c r="R189" s="747"/>
      <c r="S189" s="747"/>
      <c r="T189" s="747"/>
      <c r="U189" s="747"/>
      <c r="V189" s="747"/>
      <c r="W189" s="747"/>
      <c r="X189" s="747"/>
      <c r="Y189" s="747"/>
    </row>
    <row r="190" spans="2:25" x14ac:dyDescent="0.15">
      <c r="B190" s="747"/>
      <c r="C190" s="747"/>
      <c r="D190" s="747"/>
      <c r="E190" s="747"/>
      <c r="F190" s="747"/>
      <c r="G190" s="747"/>
      <c r="H190" s="747"/>
      <c r="I190" s="747"/>
      <c r="J190" s="747"/>
      <c r="K190" s="747"/>
      <c r="L190" s="747"/>
      <c r="M190" s="747"/>
      <c r="N190" s="747"/>
      <c r="O190" s="747"/>
      <c r="P190" s="747"/>
      <c r="Q190" s="747"/>
      <c r="R190" s="747"/>
      <c r="S190" s="747"/>
      <c r="T190" s="747"/>
      <c r="U190" s="747"/>
      <c r="V190" s="747"/>
      <c r="W190" s="747"/>
      <c r="X190" s="747"/>
      <c r="Y190" s="747"/>
    </row>
    <row r="191" spans="2:25" x14ac:dyDescent="0.15">
      <c r="B191" s="747"/>
      <c r="C191" s="747"/>
      <c r="D191" s="747"/>
      <c r="E191" s="747"/>
      <c r="F191" s="747"/>
      <c r="G191" s="747"/>
      <c r="H191" s="747"/>
      <c r="I191" s="747"/>
      <c r="J191" s="747"/>
      <c r="K191" s="747"/>
      <c r="L191" s="747"/>
      <c r="M191" s="747"/>
      <c r="N191" s="747"/>
      <c r="O191" s="747"/>
      <c r="P191" s="747"/>
      <c r="Q191" s="747"/>
      <c r="R191" s="747"/>
      <c r="S191" s="747"/>
      <c r="T191" s="747"/>
      <c r="U191" s="747"/>
      <c r="V191" s="747"/>
      <c r="W191" s="747"/>
      <c r="X191" s="747"/>
      <c r="Y191" s="747"/>
    </row>
    <row r="192" spans="2:25" x14ac:dyDescent="0.15">
      <c r="B192" s="747"/>
      <c r="C192" s="747"/>
      <c r="D192" s="747"/>
      <c r="E192" s="747"/>
      <c r="F192" s="747"/>
      <c r="G192" s="747"/>
      <c r="H192" s="747"/>
      <c r="I192" s="747"/>
      <c r="J192" s="747"/>
      <c r="K192" s="747"/>
      <c r="L192" s="747"/>
      <c r="M192" s="747"/>
      <c r="N192" s="747"/>
      <c r="O192" s="747"/>
      <c r="P192" s="747"/>
      <c r="Q192" s="747"/>
      <c r="R192" s="747"/>
      <c r="S192" s="747"/>
      <c r="T192" s="747"/>
      <c r="U192" s="747"/>
      <c r="V192" s="747"/>
      <c r="W192" s="747"/>
      <c r="X192" s="747"/>
      <c r="Y192" s="747"/>
    </row>
    <row r="193" spans="2:25" x14ac:dyDescent="0.15">
      <c r="B193" s="747"/>
      <c r="C193" s="747"/>
      <c r="D193" s="747"/>
      <c r="E193" s="747"/>
      <c r="F193" s="747"/>
      <c r="G193" s="747"/>
      <c r="H193" s="747"/>
      <c r="I193" s="747"/>
      <c r="J193" s="747"/>
      <c r="K193" s="747"/>
      <c r="L193" s="747"/>
      <c r="M193" s="747"/>
      <c r="N193" s="747"/>
      <c r="O193" s="747"/>
      <c r="P193" s="747"/>
      <c r="Q193" s="747"/>
      <c r="R193" s="747"/>
      <c r="S193" s="747"/>
      <c r="T193" s="747"/>
      <c r="U193" s="747"/>
      <c r="V193" s="747"/>
      <c r="W193" s="747"/>
      <c r="X193" s="747"/>
      <c r="Y193" s="747"/>
    </row>
    <row r="194" spans="2:25" x14ac:dyDescent="0.15">
      <c r="B194" s="747"/>
      <c r="C194" s="747"/>
      <c r="D194" s="747"/>
      <c r="E194" s="747"/>
      <c r="F194" s="747"/>
      <c r="G194" s="747"/>
      <c r="H194" s="747"/>
      <c r="I194" s="747"/>
      <c r="J194" s="747"/>
      <c r="K194" s="747"/>
      <c r="L194" s="747"/>
      <c r="M194" s="747"/>
      <c r="N194" s="747"/>
      <c r="O194" s="747"/>
      <c r="P194" s="747"/>
      <c r="Q194" s="747"/>
      <c r="R194" s="747"/>
      <c r="S194" s="747"/>
      <c r="T194" s="747"/>
      <c r="U194" s="747"/>
      <c r="V194" s="747"/>
      <c r="W194" s="747"/>
      <c r="X194" s="747"/>
      <c r="Y194" s="747"/>
    </row>
    <row r="195" spans="2:25" x14ac:dyDescent="0.15">
      <c r="B195" s="747"/>
      <c r="C195" s="747"/>
      <c r="D195" s="747"/>
      <c r="E195" s="747"/>
      <c r="F195" s="747"/>
      <c r="G195" s="747"/>
      <c r="H195" s="747"/>
      <c r="I195" s="747"/>
      <c r="J195" s="747"/>
      <c r="K195" s="747"/>
      <c r="L195" s="747"/>
      <c r="M195" s="747"/>
      <c r="N195" s="747"/>
      <c r="O195" s="747"/>
      <c r="P195" s="747"/>
      <c r="Q195" s="747"/>
      <c r="R195" s="747"/>
      <c r="S195" s="747"/>
      <c r="T195" s="747"/>
      <c r="U195" s="747"/>
      <c r="V195" s="747"/>
      <c r="W195" s="747"/>
      <c r="X195" s="747"/>
      <c r="Y195" s="747"/>
    </row>
    <row r="196" spans="2:25" x14ac:dyDescent="0.15">
      <c r="B196" s="747"/>
      <c r="C196" s="747"/>
      <c r="D196" s="747"/>
      <c r="E196" s="747"/>
      <c r="F196" s="747"/>
      <c r="G196" s="747"/>
      <c r="H196" s="747"/>
      <c r="I196" s="747"/>
      <c r="J196" s="747"/>
      <c r="K196" s="747"/>
      <c r="L196" s="747"/>
      <c r="M196" s="747"/>
      <c r="N196" s="747"/>
      <c r="O196" s="747"/>
      <c r="P196" s="747"/>
      <c r="Q196" s="747"/>
      <c r="R196" s="747"/>
      <c r="S196" s="747"/>
      <c r="T196" s="747"/>
      <c r="U196" s="747"/>
      <c r="V196" s="747"/>
      <c r="W196" s="747"/>
      <c r="X196" s="747"/>
      <c r="Y196" s="747"/>
    </row>
    <row r="197" spans="2:25" x14ac:dyDescent="0.15">
      <c r="B197" s="747"/>
      <c r="C197" s="747"/>
      <c r="D197" s="747"/>
      <c r="E197" s="747"/>
      <c r="F197" s="747"/>
      <c r="G197" s="747"/>
      <c r="H197" s="747"/>
      <c r="I197" s="747"/>
      <c r="J197" s="747"/>
      <c r="K197" s="747"/>
      <c r="L197" s="747"/>
      <c r="M197" s="747"/>
      <c r="N197" s="747"/>
      <c r="O197" s="747"/>
      <c r="P197" s="747"/>
      <c r="Q197" s="747"/>
      <c r="R197" s="747"/>
      <c r="S197" s="747"/>
      <c r="T197" s="747"/>
      <c r="U197" s="747"/>
      <c r="V197" s="747"/>
      <c r="W197" s="747"/>
      <c r="X197" s="747"/>
      <c r="Y197" s="747"/>
    </row>
    <row r="198" spans="2:25" x14ac:dyDescent="0.15">
      <c r="B198" s="747"/>
      <c r="C198" s="747"/>
      <c r="D198" s="747"/>
      <c r="E198" s="747"/>
      <c r="F198" s="747"/>
      <c r="G198" s="747"/>
      <c r="H198" s="747"/>
      <c r="I198" s="747"/>
      <c r="J198" s="747"/>
      <c r="K198" s="747"/>
      <c r="L198" s="747"/>
      <c r="M198" s="747"/>
      <c r="N198" s="747"/>
      <c r="O198" s="747"/>
      <c r="P198" s="747"/>
      <c r="Q198" s="747"/>
      <c r="R198" s="747"/>
      <c r="S198" s="747"/>
      <c r="T198" s="747"/>
      <c r="U198" s="747"/>
      <c r="V198" s="747"/>
      <c r="W198" s="747"/>
      <c r="X198" s="747"/>
      <c r="Y198" s="747"/>
    </row>
    <row r="199" spans="2:25" x14ac:dyDescent="0.15">
      <c r="B199" s="747"/>
      <c r="C199" s="747"/>
      <c r="D199" s="747"/>
      <c r="E199" s="747"/>
      <c r="F199" s="747"/>
      <c r="G199" s="747"/>
      <c r="H199" s="747"/>
      <c r="I199" s="747"/>
      <c r="J199" s="747"/>
      <c r="K199" s="747"/>
      <c r="L199" s="747"/>
      <c r="M199" s="747"/>
      <c r="N199" s="747"/>
      <c r="O199" s="747"/>
      <c r="P199" s="747"/>
      <c r="Q199" s="747"/>
      <c r="R199" s="747"/>
      <c r="S199" s="747"/>
      <c r="T199" s="747"/>
      <c r="U199" s="747"/>
      <c r="V199" s="747"/>
      <c r="W199" s="747"/>
      <c r="X199" s="747"/>
      <c r="Y199" s="747"/>
    </row>
    <row r="200" spans="2:25" x14ac:dyDescent="0.15">
      <c r="B200" s="747"/>
      <c r="C200" s="747"/>
      <c r="D200" s="747"/>
      <c r="E200" s="747"/>
      <c r="F200" s="747"/>
      <c r="G200" s="747"/>
      <c r="H200" s="747"/>
      <c r="I200" s="747"/>
      <c r="J200" s="747"/>
      <c r="K200" s="747"/>
      <c r="L200" s="747"/>
      <c r="M200" s="747"/>
      <c r="N200" s="747"/>
      <c r="O200" s="747"/>
      <c r="P200" s="747"/>
      <c r="Q200" s="747"/>
      <c r="R200" s="747"/>
      <c r="S200" s="747"/>
      <c r="T200" s="747"/>
      <c r="U200" s="747"/>
      <c r="V200" s="747"/>
      <c r="W200" s="747"/>
      <c r="X200" s="747"/>
      <c r="Y200" s="747"/>
    </row>
    <row r="201" spans="2:25" x14ac:dyDescent="0.15">
      <c r="B201" s="747"/>
      <c r="C201" s="747"/>
      <c r="D201" s="747"/>
      <c r="E201" s="747"/>
      <c r="F201" s="747"/>
      <c r="G201" s="747"/>
      <c r="H201" s="747"/>
      <c r="I201" s="747"/>
      <c r="J201" s="747"/>
      <c r="K201" s="747"/>
      <c r="L201" s="747"/>
      <c r="M201" s="747"/>
      <c r="N201" s="747"/>
      <c r="O201" s="747"/>
      <c r="P201" s="747"/>
      <c r="Q201" s="747"/>
      <c r="R201" s="747"/>
      <c r="S201" s="747"/>
      <c r="T201" s="747"/>
      <c r="U201" s="747"/>
      <c r="V201" s="747"/>
      <c r="W201" s="747"/>
      <c r="X201" s="747"/>
      <c r="Y201" s="747"/>
    </row>
    <row r="202" spans="2:25" x14ac:dyDescent="0.15">
      <c r="B202" s="747"/>
      <c r="C202" s="747"/>
      <c r="D202" s="747"/>
      <c r="E202" s="747"/>
      <c r="F202" s="747"/>
      <c r="G202" s="747"/>
      <c r="H202" s="747"/>
      <c r="I202" s="747"/>
      <c r="J202" s="747"/>
      <c r="K202" s="747"/>
      <c r="L202" s="747"/>
      <c r="M202" s="747"/>
      <c r="N202" s="747"/>
      <c r="O202" s="747"/>
      <c r="P202" s="747"/>
      <c r="Q202" s="747"/>
      <c r="R202" s="747"/>
      <c r="S202" s="747"/>
      <c r="T202" s="747"/>
      <c r="U202" s="747"/>
      <c r="V202" s="747"/>
      <c r="W202" s="747"/>
      <c r="X202" s="747"/>
      <c r="Y202" s="747"/>
    </row>
    <row r="203" spans="2:25" x14ac:dyDescent="0.15">
      <c r="B203" s="747"/>
      <c r="C203" s="747"/>
      <c r="D203" s="747"/>
      <c r="E203" s="747"/>
      <c r="F203" s="747"/>
      <c r="G203" s="747"/>
      <c r="H203" s="747"/>
      <c r="I203" s="747"/>
      <c r="J203" s="747"/>
      <c r="K203" s="747"/>
      <c r="L203" s="747"/>
      <c r="M203" s="747"/>
      <c r="N203" s="747"/>
      <c r="O203" s="747"/>
      <c r="P203" s="747"/>
      <c r="Q203" s="747"/>
      <c r="R203" s="747"/>
      <c r="S203" s="747"/>
      <c r="T203" s="747"/>
      <c r="U203" s="747"/>
      <c r="V203" s="747"/>
      <c r="W203" s="747"/>
      <c r="X203" s="747"/>
      <c r="Y203" s="747"/>
    </row>
    <row r="204" spans="2:25" x14ac:dyDescent="0.15">
      <c r="B204" s="747"/>
      <c r="C204" s="747"/>
      <c r="D204" s="747"/>
      <c r="E204" s="747"/>
      <c r="F204" s="747"/>
      <c r="G204" s="747"/>
      <c r="H204" s="747"/>
      <c r="I204" s="747"/>
      <c r="J204" s="747"/>
      <c r="K204" s="747"/>
      <c r="L204" s="747"/>
      <c r="M204" s="747"/>
      <c r="N204" s="747"/>
      <c r="O204" s="747"/>
      <c r="P204" s="747"/>
      <c r="Q204" s="747"/>
      <c r="R204" s="747"/>
      <c r="S204" s="747"/>
      <c r="T204" s="747"/>
      <c r="U204" s="747"/>
      <c r="V204" s="747"/>
      <c r="W204" s="747"/>
      <c r="X204" s="747"/>
      <c r="Y204" s="747"/>
    </row>
    <row r="205" spans="2:25" x14ac:dyDescent="0.15">
      <c r="B205" s="747"/>
      <c r="C205" s="747"/>
      <c r="D205" s="747"/>
      <c r="E205" s="747"/>
      <c r="F205" s="747"/>
      <c r="G205" s="747"/>
      <c r="H205" s="747"/>
      <c r="I205" s="747"/>
      <c r="J205" s="747"/>
      <c r="K205" s="747"/>
      <c r="L205" s="747"/>
      <c r="M205" s="747"/>
      <c r="N205" s="747"/>
      <c r="O205" s="747"/>
      <c r="P205" s="747"/>
      <c r="Q205" s="747"/>
      <c r="R205" s="747"/>
      <c r="S205" s="747"/>
      <c r="T205" s="747"/>
      <c r="U205" s="747"/>
      <c r="V205" s="747"/>
      <c r="W205" s="747"/>
      <c r="X205" s="747"/>
      <c r="Y205" s="747"/>
    </row>
    <row r="206" spans="2:25" x14ac:dyDescent="0.15">
      <c r="B206" s="747"/>
      <c r="C206" s="747"/>
      <c r="D206" s="747"/>
      <c r="E206" s="747"/>
      <c r="F206" s="747"/>
      <c r="G206" s="747"/>
      <c r="H206" s="747"/>
      <c r="I206" s="747"/>
      <c r="J206" s="747"/>
      <c r="K206" s="747"/>
      <c r="L206" s="747"/>
      <c r="M206" s="747"/>
      <c r="N206" s="747"/>
      <c r="O206" s="747"/>
      <c r="P206" s="747"/>
      <c r="Q206" s="747"/>
      <c r="R206" s="747"/>
      <c r="S206" s="747"/>
      <c r="T206" s="747"/>
      <c r="U206" s="747"/>
      <c r="V206" s="747"/>
      <c r="W206" s="747"/>
      <c r="X206" s="747"/>
      <c r="Y206" s="747"/>
    </row>
    <row r="207" spans="2:25" x14ac:dyDescent="0.15">
      <c r="B207" s="747"/>
      <c r="C207" s="747"/>
      <c r="D207" s="747"/>
      <c r="E207" s="747"/>
      <c r="F207" s="747"/>
      <c r="G207" s="747"/>
      <c r="H207" s="747"/>
      <c r="I207" s="747"/>
      <c r="J207" s="747"/>
      <c r="K207" s="747"/>
      <c r="L207" s="747"/>
      <c r="M207" s="747"/>
      <c r="N207" s="747"/>
      <c r="O207" s="747"/>
      <c r="P207" s="747"/>
      <c r="Q207" s="747"/>
      <c r="R207" s="747"/>
      <c r="S207" s="747"/>
      <c r="T207" s="747"/>
      <c r="U207" s="747"/>
      <c r="V207" s="747"/>
      <c r="W207" s="747"/>
      <c r="X207" s="747"/>
      <c r="Y207" s="747"/>
    </row>
    <row r="208" spans="2:25" x14ac:dyDescent="0.15">
      <c r="B208" s="747"/>
      <c r="C208" s="747"/>
      <c r="D208" s="747"/>
      <c r="E208" s="747"/>
      <c r="F208" s="747"/>
      <c r="G208" s="747"/>
      <c r="H208" s="747"/>
      <c r="I208" s="747"/>
      <c r="J208" s="747"/>
      <c r="K208" s="747"/>
      <c r="L208" s="747"/>
      <c r="M208" s="747"/>
      <c r="N208" s="747"/>
      <c r="O208" s="747"/>
      <c r="P208" s="747"/>
      <c r="Q208" s="747"/>
      <c r="R208" s="747"/>
      <c r="S208" s="747"/>
      <c r="T208" s="747"/>
      <c r="U208" s="747"/>
      <c r="V208" s="747"/>
      <c r="W208" s="747"/>
      <c r="X208" s="747"/>
      <c r="Y208" s="747"/>
    </row>
    <row r="209" spans="2:25" x14ac:dyDescent="0.15">
      <c r="B209" s="747"/>
      <c r="C209" s="747"/>
      <c r="D209" s="747"/>
      <c r="E209" s="747"/>
      <c r="F209" s="747"/>
      <c r="G209" s="747"/>
      <c r="H209" s="747"/>
      <c r="I209" s="747"/>
      <c r="J209" s="747"/>
      <c r="K209" s="747"/>
      <c r="L209" s="747"/>
      <c r="M209" s="747"/>
      <c r="N209" s="747"/>
      <c r="O209" s="747"/>
      <c r="P209" s="747"/>
      <c r="Q209" s="747"/>
      <c r="R209" s="747"/>
      <c r="S209" s="747"/>
      <c r="T209" s="747"/>
      <c r="U209" s="747"/>
      <c r="V209" s="747"/>
      <c r="W209" s="747"/>
      <c r="X209" s="747"/>
      <c r="Y209" s="747"/>
    </row>
    <row r="210" spans="2:25" x14ac:dyDescent="0.15">
      <c r="B210" s="747"/>
      <c r="C210" s="747"/>
      <c r="D210" s="747"/>
      <c r="E210" s="747"/>
      <c r="F210" s="747"/>
      <c r="G210" s="747"/>
      <c r="H210" s="747"/>
      <c r="I210" s="747"/>
      <c r="J210" s="747"/>
      <c r="K210" s="747"/>
      <c r="L210" s="747"/>
      <c r="M210" s="747"/>
      <c r="N210" s="747"/>
      <c r="O210" s="747"/>
      <c r="P210" s="747"/>
      <c r="Q210" s="747"/>
      <c r="R210" s="747"/>
      <c r="S210" s="747"/>
      <c r="T210" s="747"/>
      <c r="U210" s="747"/>
      <c r="V210" s="747"/>
      <c r="W210" s="747"/>
      <c r="X210" s="747"/>
      <c r="Y210" s="747"/>
    </row>
    <row r="211" spans="2:25" x14ac:dyDescent="0.15">
      <c r="B211" s="747"/>
      <c r="C211" s="747"/>
      <c r="D211" s="747"/>
      <c r="E211" s="747"/>
      <c r="F211" s="747"/>
      <c r="G211" s="747"/>
      <c r="H211" s="747"/>
      <c r="I211" s="747"/>
      <c r="J211" s="747"/>
      <c r="K211" s="747"/>
      <c r="L211" s="747"/>
      <c r="M211" s="747"/>
      <c r="N211" s="747"/>
      <c r="O211" s="747"/>
      <c r="P211" s="747"/>
      <c r="Q211" s="747"/>
      <c r="R211" s="747"/>
      <c r="S211" s="747"/>
      <c r="T211" s="747"/>
      <c r="U211" s="747"/>
      <c r="V211" s="747"/>
      <c r="W211" s="747"/>
      <c r="X211" s="747"/>
      <c r="Y211" s="747"/>
    </row>
    <row r="212" spans="2:25" x14ac:dyDescent="0.15">
      <c r="B212" s="747"/>
      <c r="C212" s="747"/>
      <c r="D212" s="747"/>
      <c r="E212" s="747"/>
      <c r="F212" s="747"/>
      <c r="G212" s="747"/>
      <c r="H212" s="747"/>
      <c r="I212" s="747"/>
      <c r="J212" s="747"/>
      <c r="K212" s="747"/>
      <c r="L212" s="747"/>
      <c r="M212" s="747"/>
      <c r="N212" s="747"/>
      <c r="O212" s="747"/>
      <c r="P212" s="747"/>
      <c r="Q212" s="747"/>
      <c r="R212" s="747"/>
      <c r="S212" s="747"/>
      <c r="T212" s="747"/>
      <c r="U212" s="747"/>
      <c r="V212" s="747"/>
      <c r="W212" s="747"/>
      <c r="X212" s="747"/>
      <c r="Y212" s="747"/>
    </row>
    <row r="213" spans="2:25" x14ac:dyDescent="0.15">
      <c r="B213" s="747"/>
      <c r="C213" s="747"/>
      <c r="D213" s="747"/>
      <c r="E213" s="747"/>
      <c r="F213" s="747"/>
      <c r="G213" s="747"/>
      <c r="H213" s="747"/>
      <c r="I213" s="747"/>
      <c r="J213" s="747"/>
      <c r="K213" s="747"/>
      <c r="L213" s="747"/>
      <c r="M213" s="747"/>
      <c r="N213" s="747"/>
      <c r="O213" s="747"/>
      <c r="P213" s="747"/>
      <c r="Q213" s="747"/>
      <c r="R213" s="747"/>
      <c r="S213" s="747"/>
      <c r="T213" s="747"/>
      <c r="U213" s="747"/>
      <c r="V213" s="747"/>
      <c r="W213" s="747"/>
      <c r="X213" s="747"/>
      <c r="Y213" s="747"/>
    </row>
    <row r="214" spans="2:25" x14ac:dyDescent="0.15">
      <c r="B214" s="747"/>
      <c r="C214" s="747"/>
      <c r="D214" s="747"/>
      <c r="E214" s="747"/>
      <c r="F214" s="747"/>
      <c r="G214" s="747"/>
      <c r="H214" s="747"/>
      <c r="I214" s="747"/>
      <c r="J214" s="747"/>
      <c r="K214" s="747"/>
      <c r="L214" s="747"/>
      <c r="M214" s="747"/>
      <c r="N214" s="747"/>
      <c r="O214" s="747"/>
      <c r="P214" s="747"/>
      <c r="Q214" s="747"/>
      <c r="R214" s="747"/>
      <c r="S214" s="747"/>
      <c r="T214" s="747"/>
      <c r="U214" s="747"/>
      <c r="V214" s="747"/>
      <c r="W214" s="747"/>
      <c r="X214" s="747"/>
      <c r="Y214" s="747"/>
    </row>
    <row r="215" spans="2:25" x14ac:dyDescent="0.15">
      <c r="B215" s="747"/>
      <c r="C215" s="747"/>
      <c r="D215" s="747"/>
      <c r="E215" s="747"/>
      <c r="F215" s="747"/>
      <c r="G215" s="747"/>
      <c r="H215" s="747"/>
      <c r="I215" s="747"/>
      <c r="J215" s="747"/>
      <c r="K215" s="747"/>
      <c r="L215" s="747"/>
      <c r="M215" s="747"/>
      <c r="N215" s="747"/>
      <c r="O215" s="747"/>
      <c r="P215" s="747"/>
      <c r="Q215" s="747"/>
      <c r="R215" s="747"/>
      <c r="S215" s="747"/>
      <c r="T215" s="747"/>
      <c r="U215" s="747"/>
      <c r="V215" s="747"/>
      <c r="W215" s="747"/>
      <c r="X215" s="747"/>
      <c r="Y215" s="747"/>
    </row>
    <row r="216" spans="2:25" x14ac:dyDescent="0.15">
      <c r="B216" s="747"/>
      <c r="C216" s="747"/>
      <c r="D216" s="747"/>
      <c r="E216" s="747"/>
      <c r="F216" s="747"/>
      <c r="G216" s="747"/>
      <c r="H216" s="747"/>
      <c r="I216" s="747"/>
      <c r="J216" s="747"/>
      <c r="K216" s="747"/>
      <c r="L216" s="747"/>
      <c r="M216" s="747"/>
      <c r="N216" s="747"/>
      <c r="O216" s="747"/>
      <c r="P216" s="747"/>
      <c r="Q216" s="747"/>
      <c r="R216" s="747"/>
      <c r="S216" s="747"/>
      <c r="T216" s="747"/>
      <c r="U216" s="747"/>
      <c r="V216" s="747"/>
      <c r="W216" s="747"/>
      <c r="X216" s="747"/>
      <c r="Y216" s="747"/>
    </row>
    <row r="217" spans="2:25" x14ac:dyDescent="0.15">
      <c r="B217" s="747"/>
      <c r="C217" s="747"/>
      <c r="D217" s="747"/>
      <c r="E217" s="747"/>
      <c r="F217" s="747"/>
      <c r="G217" s="747"/>
      <c r="H217" s="747"/>
      <c r="I217" s="747"/>
      <c r="J217" s="747"/>
      <c r="K217" s="747"/>
      <c r="L217" s="747"/>
      <c r="M217" s="747"/>
      <c r="N217" s="747"/>
      <c r="O217" s="747"/>
      <c r="P217" s="747"/>
      <c r="Q217" s="747"/>
      <c r="R217" s="747"/>
      <c r="S217" s="747"/>
      <c r="T217" s="747"/>
      <c r="U217" s="747"/>
      <c r="V217" s="747"/>
      <c r="W217" s="747"/>
      <c r="X217" s="747"/>
      <c r="Y217" s="747"/>
    </row>
    <row r="218" spans="2:25" x14ac:dyDescent="0.15">
      <c r="B218" s="747"/>
      <c r="C218" s="747"/>
      <c r="D218" s="747"/>
      <c r="E218" s="747"/>
      <c r="F218" s="747"/>
      <c r="G218" s="747"/>
      <c r="H218" s="747"/>
      <c r="I218" s="747"/>
      <c r="J218" s="747"/>
      <c r="K218" s="747"/>
      <c r="L218" s="747"/>
      <c r="M218" s="747"/>
      <c r="N218" s="747"/>
      <c r="O218" s="747"/>
      <c r="P218" s="747"/>
      <c r="Q218" s="747"/>
      <c r="R218" s="747"/>
      <c r="S218" s="747"/>
      <c r="T218" s="747"/>
      <c r="U218" s="747"/>
      <c r="V218" s="747"/>
      <c r="W218" s="747"/>
      <c r="X218" s="747"/>
      <c r="Y218" s="747"/>
    </row>
    <row r="219" spans="2:25" x14ac:dyDescent="0.15">
      <c r="B219" s="747"/>
      <c r="C219" s="747"/>
      <c r="D219" s="747"/>
      <c r="E219" s="747"/>
      <c r="F219" s="747"/>
      <c r="G219" s="747"/>
      <c r="H219" s="747"/>
      <c r="I219" s="747"/>
      <c r="J219" s="747"/>
      <c r="K219" s="747"/>
      <c r="L219" s="747"/>
      <c r="M219" s="747"/>
      <c r="N219" s="747"/>
      <c r="O219" s="747"/>
      <c r="P219" s="747"/>
      <c r="Q219" s="747"/>
      <c r="R219" s="747"/>
      <c r="S219" s="747"/>
      <c r="T219" s="747"/>
      <c r="U219" s="747"/>
      <c r="V219" s="747"/>
      <c r="W219" s="747"/>
      <c r="X219" s="747"/>
      <c r="Y219" s="747"/>
    </row>
    <row r="220" spans="2:25" x14ac:dyDescent="0.15">
      <c r="B220" s="747"/>
      <c r="C220" s="747"/>
      <c r="D220" s="747"/>
      <c r="E220" s="747"/>
      <c r="F220" s="747"/>
      <c r="G220" s="747"/>
      <c r="H220" s="747"/>
      <c r="I220" s="747"/>
      <c r="J220" s="747"/>
      <c r="K220" s="747"/>
      <c r="L220" s="747"/>
      <c r="M220" s="747"/>
      <c r="N220" s="747"/>
      <c r="O220" s="747"/>
      <c r="P220" s="747"/>
      <c r="Q220" s="747"/>
      <c r="R220" s="747"/>
      <c r="S220" s="747"/>
      <c r="T220" s="747"/>
      <c r="U220" s="747"/>
      <c r="V220" s="747"/>
      <c r="W220" s="747"/>
      <c r="X220" s="747"/>
      <c r="Y220" s="747"/>
    </row>
    <row r="221" spans="2:25" x14ac:dyDescent="0.15">
      <c r="B221" s="747"/>
      <c r="C221" s="747"/>
      <c r="D221" s="747"/>
      <c r="E221" s="747"/>
      <c r="F221" s="747"/>
      <c r="G221" s="747"/>
      <c r="H221" s="747"/>
      <c r="I221" s="747"/>
      <c r="J221" s="747"/>
      <c r="K221" s="747"/>
      <c r="L221" s="747"/>
      <c r="M221" s="747"/>
      <c r="N221" s="747"/>
      <c r="O221" s="747"/>
      <c r="P221" s="747"/>
      <c r="Q221" s="747"/>
      <c r="R221" s="747"/>
      <c r="S221" s="747"/>
      <c r="T221" s="747"/>
      <c r="U221" s="747"/>
      <c r="V221" s="747"/>
      <c r="W221" s="747"/>
      <c r="X221" s="747"/>
      <c r="Y221" s="747"/>
    </row>
    <row r="222" spans="2:25" x14ac:dyDescent="0.15">
      <c r="B222" s="747"/>
      <c r="C222" s="747"/>
      <c r="D222" s="747"/>
      <c r="E222" s="747"/>
      <c r="F222" s="747"/>
      <c r="G222" s="747"/>
      <c r="H222" s="747"/>
      <c r="I222" s="747"/>
      <c r="J222" s="747"/>
      <c r="K222" s="747"/>
      <c r="L222" s="747"/>
      <c r="M222" s="747"/>
      <c r="N222" s="747"/>
      <c r="O222" s="747"/>
      <c r="P222" s="747"/>
      <c r="Q222" s="747"/>
      <c r="R222" s="747"/>
      <c r="S222" s="747"/>
      <c r="T222" s="747"/>
      <c r="U222" s="747"/>
      <c r="V222" s="747"/>
      <c r="W222" s="747"/>
      <c r="X222" s="747"/>
      <c r="Y222" s="747"/>
    </row>
    <row r="223" spans="2:25" x14ac:dyDescent="0.15">
      <c r="B223" s="747"/>
      <c r="C223" s="747"/>
      <c r="D223" s="747"/>
      <c r="E223" s="747"/>
      <c r="F223" s="747"/>
      <c r="G223" s="747"/>
      <c r="H223" s="747"/>
      <c r="I223" s="747"/>
      <c r="J223" s="747"/>
      <c r="K223" s="747"/>
      <c r="L223" s="747"/>
      <c r="M223" s="747"/>
      <c r="N223" s="747"/>
      <c r="O223" s="747"/>
      <c r="P223" s="747"/>
      <c r="Q223" s="747"/>
      <c r="R223" s="747"/>
      <c r="S223" s="747"/>
      <c r="T223" s="747"/>
      <c r="U223" s="747"/>
      <c r="V223" s="747"/>
      <c r="W223" s="747"/>
      <c r="X223" s="747"/>
      <c r="Y223" s="747"/>
    </row>
    <row r="224" spans="2:25" x14ac:dyDescent="0.15">
      <c r="B224" s="747"/>
      <c r="C224" s="747"/>
      <c r="D224" s="747"/>
      <c r="E224" s="747"/>
      <c r="F224" s="747"/>
      <c r="G224" s="747"/>
      <c r="H224" s="747"/>
      <c r="I224" s="747"/>
      <c r="J224" s="747"/>
      <c r="K224" s="747"/>
      <c r="L224" s="747"/>
      <c r="M224" s="747"/>
      <c r="N224" s="747"/>
      <c r="O224" s="747"/>
      <c r="P224" s="747"/>
      <c r="Q224" s="747"/>
      <c r="R224" s="747"/>
      <c r="S224" s="747"/>
      <c r="T224" s="747"/>
      <c r="U224" s="747"/>
      <c r="V224" s="747"/>
      <c r="W224" s="747"/>
      <c r="X224" s="747"/>
      <c r="Y224" s="747"/>
    </row>
    <row r="225" spans="2:25" x14ac:dyDescent="0.15">
      <c r="B225" s="747"/>
      <c r="C225" s="747"/>
      <c r="D225" s="747"/>
      <c r="E225" s="747"/>
      <c r="F225" s="747"/>
      <c r="G225" s="747"/>
      <c r="H225" s="747"/>
      <c r="I225" s="747"/>
      <c r="J225" s="747"/>
      <c r="K225" s="747"/>
      <c r="L225" s="747"/>
      <c r="M225" s="747"/>
      <c r="N225" s="747"/>
      <c r="O225" s="747"/>
      <c r="P225" s="747"/>
      <c r="Q225" s="747"/>
      <c r="R225" s="747"/>
      <c r="S225" s="747"/>
      <c r="T225" s="747"/>
      <c r="U225" s="747"/>
      <c r="V225" s="747"/>
      <c r="W225" s="747"/>
      <c r="X225" s="747"/>
      <c r="Y225" s="747"/>
    </row>
    <row r="226" spans="2:25" x14ac:dyDescent="0.15">
      <c r="B226" s="747"/>
      <c r="C226" s="747"/>
      <c r="D226" s="747"/>
      <c r="E226" s="747"/>
      <c r="F226" s="747"/>
      <c r="G226" s="747"/>
      <c r="H226" s="747"/>
      <c r="I226" s="747"/>
      <c r="J226" s="747"/>
      <c r="K226" s="747"/>
      <c r="L226" s="747"/>
      <c r="M226" s="747"/>
      <c r="N226" s="747"/>
      <c r="O226" s="747"/>
      <c r="P226" s="747"/>
      <c r="Q226" s="747"/>
      <c r="R226" s="747"/>
      <c r="S226" s="747"/>
      <c r="T226" s="747"/>
      <c r="U226" s="747"/>
      <c r="V226" s="747"/>
      <c r="W226" s="747"/>
      <c r="X226" s="747"/>
      <c r="Y226" s="747"/>
    </row>
    <row r="227" spans="2:25" x14ac:dyDescent="0.15">
      <c r="B227" s="747"/>
      <c r="C227" s="747"/>
      <c r="D227" s="747"/>
      <c r="E227" s="747"/>
      <c r="F227" s="747"/>
      <c r="G227" s="747"/>
      <c r="H227" s="747"/>
      <c r="I227" s="747"/>
      <c r="J227" s="747"/>
      <c r="K227" s="747"/>
      <c r="L227" s="747"/>
      <c r="M227" s="747"/>
      <c r="N227" s="747"/>
      <c r="O227" s="747"/>
      <c r="P227" s="747"/>
      <c r="Q227" s="747"/>
      <c r="R227" s="747"/>
      <c r="S227" s="747"/>
      <c r="T227" s="747"/>
      <c r="U227" s="747"/>
      <c r="V227" s="747"/>
      <c r="W227" s="747"/>
      <c r="X227" s="747"/>
      <c r="Y227" s="747"/>
    </row>
    <row r="228" spans="2:25" x14ac:dyDescent="0.15">
      <c r="B228" s="747"/>
      <c r="C228" s="747"/>
      <c r="D228" s="747"/>
      <c r="E228" s="747"/>
      <c r="F228" s="747"/>
      <c r="G228" s="747"/>
      <c r="H228" s="747"/>
      <c r="I228" s="747"/>
      <c r="J228" s="747"/>
      <c r="K228" s="747"/>
      <c r="L228" s="747"/>
      <c r="M228" s="747"/>
      <c r="N228" s="747"/>
      <c r="O228" s="747"/>
      <c r="P228" s="747"/>
      <c r="Q228" s="747"/>
      <c r="R228" s="747"/>
      <c r="S228" s="747"/>
      <c r="T228" s="747"/>
      <c r="U228" s="747"/>
      <c r="V228" s="747"/>
      <c r="W228" s="747"/>
      <c r="X228" s="747"/>
      <c r="Y228" s="747"/>
    </row>
    <row r="229" spans="2:25" x14ac:dyDescent="0.15">
      <c r="B229" s="747"/>
      <c r="C229" s="747"/>
      <c r="D229" s="747"/>
      <c r="E229" s="747"/>
      <c r="F229" s="747"/>
      <c r="G229" s="747"/>
      <c r="H229" s="747"/>
      <c r="I229" s="747"/>
      <c r="J229" s="747"/>
      <c r="K229" s="747"/>
      <c r="L229" s="747"/>
      <c r="M229" s="747"/>
      <c r="N229" s="747"/>
      <c r="O229" s="747"/>
      <c r="P229" s="747"/>
      <c r="Q229" s="747"/>
      <c r="R229" s="747"/>
      <c r="S229" s="747"/>
      <c r="T229" s="747"/>
      <c r="U229" s="747"/>
      <c r="V229" s="747"/>
      <c r="W229" s="747"/>
      <c r="X229" s="747"/>
      <c r="Y229" s="747"/>
    </row>
    <row r="230" spans="2:25" x14ac:dyDescent="0.15">
      <c r="B230" s="747"/>
      <c r="C230" s="747"/>
      <c r="D230" s="747"/>
      <c r="E230" s="747"/>
      <c r="F230" s="747"/>
      <c r="G230" s="747"/>
      <c r="H230" s="747"/>
      <c r="I230" s="747"/>
      <c r="J230" s="747"/>
      <c r="K230" s="747"/>
      <c r="L230" s="747"/>
      <c r="M230" s="747"/>
      <c r="N230" s="747"/>
      <c r="O230" s="747"/>
      <c r="P230" s="747"/>
      <c r="Q230" s="747"/>
      <c r="R230" s="747"/>
      <c r="S230" s="747"/>
      <c r="T230" s="747"/>
      <c r="U230" s="747"/>
      <c r="V230" s="747"/>
      <c r="W230" s="747"/>
      <c r="X230" s="747"/>
      <c r="Y230" s="747"/>
    </row>
    <row r="231" spans="2:25" x14ac:dyDescent="0.15">
      <c r="B231" s="747"/>
      <c r="C231" s="747"/>
      <c r="D231" s="747"/>
      <c r="E231" s="747"/>
      <c r="F231" s="747"/>
      <c r="G231" s="747"/>
      <c r="H231" s="747"/>
      <c r="I231" s="747"/>
      <c r="J231" s="747"/>
      <c r="K231" s="747"/>
      <c r="L231" s="747"/>
      <c r="M231" s="747"/>
      <c r="N231" s="747"/>
      <c r="O231" s="747"/>
      <c r="P231" s="747"/>
      <c r="Q231" s="747"/>
      <c r="R231" s="747"/>
      <c r="S231" s="747"/>
      <c r="T231" s="747"/>
      <c r="U231" s="747"/>
      <c r="V231" s="747"/>
      <c r="W231" s="747"/>
      <c r="X231" s="747"/>
      <c r="Y231" s="747"/>
    </row>
    <row r="232" spans="2:25" x14ac:dyDescent="0.15">
      <c r="B232" s="747"/>
      <c r="C232" s="747"/>
      <c r="D232" s="747"/>
      <c r="E232" s="747"/>
      <c r="F232" s="747"/>
      <c r="G232" s="747"/>
      <c r="H232" s="747"/>
      <c r="I232" s="747"/>
      <c r="J232" s="747"/>
      <c r="K232" s="747"/>
      <c r="L232" s="747"/>
      <c r="M232" s="747"/>
      <c r="N232" s="747"/>
      <c r="O232" s="747"/>
      <c r="P232" s="747"/>
      <c r="Q232" s="747"/>
      <c r="R232" s="747"/>
      <c r="S232" s="747"/>
      <c r="T232" s="747"/>
      <c r="U232" s="747"/>
      <c r="V232" s="747"/>
      <c r="W232" s="747"/>
      <c r="X232" s="747"/>
      <c r="Y232" s="747"/>
    </row>
    <row r="233" spans="2:25" x14ac:dyDescent="0.15">
      <c r="B233" s="747"/>
      <c r="C233" s="747"/>
      <c r="D233" s="747"/>
      <c r="E233" s="747"/>
      <c r="F233" s="747"/>
      <c r="G233" s="747"/>
      <c r="H233" s="747"/>
      <c r="I233" s="747"/>
      <c r="J233" s="747"/>
      <c r="K233" s="747"/>
      <c r="L233" s="747"/>
      <c r="M233" s="747"/>
      <c r="N233" s="747"/>
      <c r="O233" s="747"/>
      <c r="P233" s="747"/>
      <c r="Q233" s="747"/>
      <c r="R233" s="747"/>
      <c r="S233" s="747"/>
      <c r="T233" s="747"/>
      <c r="U233" s="747"/>
      <c r="V233" s="747"/>
      <c r="W233" s="747"/>
      <c r="X233" s="747"/>
      <c r="Y233" s="747"/>
    </row>
    <row r="234" spans="2:25" x14ac:dyDescent="0.15">
      <c r="B234" s="747"/>
      <c r="C234" s="747"/>
      <c r="D234" s="747"/>
      <c r="E234" s="747"/>
      <c r="F234" s="747"/>
      <c r="G234" s="747"/>
      <c r="H234" s="747"/>
      <c r="I234" s="747"/>
      <c r="J234" s="747"/>
      <c r="K234" s="747"/>
      <c r="L234" s="747"/>
      <c r="M234" s="747"/>
      <c r="N234" s="747"/>
      <c r="O234" s="747"/>
      <c r="P234" s="747"/>
      <c r="Q234" s="747"/>
      <c r="R234" s="747"/>
      <c r="S234" s="747"/>
      <c r="T234" s="747"/>
      <c r="U234" s="747"/>
      <c r="V234" s="747"/>
      <c r="W234" s="747"/>
      <c r="X234" s="747"/>
      <c r="Y234" s="747"/>
    </row>
    <row r="235" spans="2:25" x14ac:dyDescent="0.15">
      <c r="B235" s="747"/>
      <c r="C235" s="747"/>
      <c r="D235" s="747"/>
      <c r="E235" s="747"/>
      <c r="F235" s="747"/>
      <c r="G235" s="747"/>
      <c r="H235" s="747"/>
      <c r="I235" s="747"/>
      <c r="J235" s="747"/>
      <c r="K235" s="747"/>
      <c r="L235" s="747"/>
      <c r="M235" s="747"/>
      <c r="N235" s="747"/>
      <c r="O235" s="747"/>
      <c r="P235" s="747"/>
      <c r="Q235" s="747"/>
      <c r="R235" s="747"/>
      <c r="S235" s="747"/>
      <c r="T235" s="747"/>
      <c r="U235" s="747"/>
      <c r="V235" s="747"/>
      <c r="W235" s="747"/>
      <c r="X235" s="747"/>
      <c r="Y235" s="747"/>
    </row>
    <row r="236" spans="2:25" x14ac:dyDescent="0.15">
      <c r="B236" s="747"/>
      <c r="C236" s="747"/>
      <c r="D236" s="747"/>
      <c r="E236" s="747"/>
      <c r="F236" s="747"/>
      <c r="G236" s="747"/>
      <c r="H236" s="747"/>
      <c r="I236" s="747"/>
      <c r="J236" s="747"/>
      <c r="K236" s="747"/>
      <c r="L236" s="747"/>
      <c r="M236" s="747"/>
      <c r="N236" s="747"/>
      <c r="O236" s="747"/>
      <c r="P236" s="747"/>
      <c r="Q236" s="747"/>
      <c r="R236" s="747"/>
      <c r="S236" s="747"/>
      <c r="T236" s="747"/>
      <c r="U236" s="747"/>
      <c r="V236" s="747"/>
      <c r="W236" s="747"/>
      <c r="X236" s="747"/>
      <c r="Y236" s="747"/>
    </row>
    <row r="237" spans="2:25" x14ac:dyDescent="0.15">
      <c r="B237" s="747"/>
      <c r="C237" s="747"/>
      <c r="D237" s="747"/>
      <c r="E237" s="747"/>
      <c r="F237" s="747"/>
      <c r="G237" s="747"/>
      <c r="H237" s="747"/>
      <c r="I237" s="747"/>
      <c r="J237" s="747"/>
      <c r="K237" s="747"/>
      <c r="L237" s="747"/>
      <c r="M237" s="747"/>
      <c r="N237" s="747"/>
      <c r="O237" s="747"/>
      <c r="P237" s="747"/>
      <c r="Q237" s="747"/>
      <c r="R237" s="747"/>
      <c r="S237" s="747"/>
      <c r="T237" s="747"/>
      <c r="U237" s="747"/>
      <c r="V237" s="747"/>
      <c r="W237" s="747"/>
      <c r="X237" s="747"/>
      <c r="Y237" s="747"/>
    </row>
  </sheetData>
  <protectedRanges>
    <protectedRange sqref="C27:D31 C33:D36 C38:C39 C42:C43 C3:G5 C7:H18 C20:C25" name="Range1"/>
  </protectedRanges>
  <mergeCells count="10">
    <mergeCell ref="B46:H46"/>
    <mergeCell ref="F25:G25"/>
    <mergeCell ref="D44:E44"/>
    <mergeCell ref="D45:E45"/>
    <mergeCell ref="F19:G19"/>
    <mergeCell ref="F20:G20"/>
    <mergeCell ref="F21:G21"/>
    <mergeCell ref="F22:G22"/>
    <mergeCell ref="F23:G23"/>
    <mergeCell ref="F24:G24"/>
  </mergeCells>
  <conditionalFormatting sqref="G27:G31 G33:G36">
    <cfRule type="cellIs" dxfId="276" priority="56" operator="lessThanOrEqual">
      <formula>-6</formula>
    </cfRule>
    <cfRule type="cellIs" dxfId="275" priority="57" operator="between">
      <formula>-5</formula>
      <formula>-3</formula>
    </cfRule>
    <cfRule type="cellIs" dxfId="274" priority="58" operator="between">
      <formula>-2</formula>
      <formula>-1</formula>
    </cfRule>
  </conditionalFormatting>
  <conditionalFormatting sqref="G27:G31 G33:G36">
    <cfRule type="cellIs" dxfId="273" priority="53" operator="greaterThanOrEqual">
      <formula>0</formula>
    </cfRule>
  </conditionalFormatting>
  <conditionalFormatting sqref="G38:G40">
    <cfRule type="cellIs" dxfId="272" priority="50" stopIfTrue="1" operator="lessThanOrEqual">
      <formula>-6</formula>
    </cfRule>
    <cfRule type="cellIs" dxfId="271" priority="51" operator="between">
      <formula>-5</formula>
      <formula>-3</formula>
    </cfRule>
    <cfRule type="cellIs" dxfId="270" priority="52" operator="between">
      <formula>-2</formula>
      <formula>-1</formula>
    </cfRule>
  </conditionalFormatting>
  <conditionalFormatting sqref="G38:G40">
    <cfRule type="cellIs" dxfId="269" priority="49" stopIfTrue="1" operator="greaterThanOrEqual">
      <formula>0</formula>
    </cfRule>
  </conditionalFormatting>
  <conditionalFormatting sqref="G45">
    <cfRule type="cellIs" dxfId="268" priority="46" stopIfTrue="1" operator="lessThanOrEqual">
      <formula>-6</formula>
    </cfRule>
    <cfRule type="cellIs" dxfId="267" priority="47" stopIfTrue="1" operator="between">
      <formula>-5</formula>
      <formula>-3</formula>
    </cfRule>
    <cfRule type="cellIs" dxfId="266" priority="48" stopIfTrue="1" operator="between">
      <formula>-2</formula>
      <formula>-1</formula>
    </cfRule>
  </conditionalFormatting>
  <conditionalFormatting sqref="G45">
    <cfRule type="cellIs" dxfId="265" priority="45" stopIfTrue="1" operator="greaterThanOrEqual">
      <formula>0</formula>
    </cfRule>
  </conditionalFormatting>
  <conditionalFormatting sqref="H7:H18 H45 H38:H43 H33:H36 H27:H31 H20:H25">
    <cfRule type="cellIs" dxfId="264" priority="10" operator="between">
      <formula>-1</formula>
      <formula>0</formula>
    </cfRule>
  </conditionalFormatting>
  <conditionalFormatting sqref="H7:H18 H45 H38:H43 H33:H36 H27:H31 H20:H25">
    <cfRule type="cellIs" dxfId="263" priority="8" operator="lessThanOrEqual">
      <formula>-2</formula>
    </cfRule>
  </conditionalFormatting>
  <conditionalFormatting sqref="H7:H18 H45 H38:H43 H33:H36 H27:H31 H20:H25">
    <cfRule type="cellIs" dxfId="262" priority="9" operator="between">
      <formula>-1.99999</formula>
      <formula>-1.5</formula>
    </cfRule>
  </conditionalFormatting>
  <conditionalFormatting sqref="H7:H18 H45 H38:H43 H33:H36 H27:H31 H20:H25">
    <cfRule type="cellIs" dxfId="261" priority="6" operator="greaterThan">
      <formula>0</formula>
    </cfRule>
    <cfRule type="cellIs" dxfId="260" priority="7" operator="between">
      <formula>-1.49999</formula>
      <formula>-1.00001</formula>
    </cfRule>
  </conditionalFormatting>
  <conditionalFormatting sqref="G3:G5">
    <cfRule type="cellIs" dxfId="259" priority="5" operator="between">
      <formula>-1</formula>
      <formula>0</formula>
    </cfRule>
  </conditionalFormatting>
  <conditionalFormatting sqref="G3:G5">
    <cfRule type="cellIs" dxfId="258" priority="3" operator="lessThanOrEqual">
      <formula>-2</formula>
    </cfRule>
  </conditionalFormatting>
  <conditionalFormatting sqref="G3:G5">
    <cfRule type="cellIs" dxfId="257" priority="4" operator="between">
      <formula>-1.99999</formula>
      <formula>-1.5</formula>
    </cfRule>
  </conditionalFormatting>
  <conditionalFormatting sqref="G3:G5">
    <cfRule type="cellIs" dxfId="256" priority="1" operator="greaterThan">
      <formula>0</formula>
    </cfRule>
    <cfRule type="cellIs" dxfId="255" priority="2" operator="between">
      <formula>-1.49999</formula>
      <formula>-1.00001</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8CD74-97C6-4A90-89F7-AABC9B491891}">
  <sheetPr>
    <tabColor rgb="FF92D050"/>
  </sheetPr>
  <dimension ref="A1:AA44"/>
  <sheetViews>
    <sheetView workbookViewId="0">
      <selection activeCell="K7" sqref="K7"/>
    </sheetView>
  </sheetViews>
  <sheetFormatPr baseColWidth="10" defaultColWidth="8.83203125" defaultRowHeight="15" x14ac:dyDescent="0.2"/>
  <cols>
    <col min="6" max="6" width="11.1640625" customWidth="1"/>
  </cols>
  <sheetData>
    <row r="1" spans="1:27" x14ac:dyDescent="0.2">
      <c r="A1" s="39"/>
      <c r="B1" s="39"/>
      <c r="C1" s="39"/>
      <c r="D1" s="39"/>
      <c r="E1" s="39"/>
      <c r="F1" s="39"/>
      <c r="G1" s="39"/>
      <c r="H1" s="39"/>
      <c r="I1" s="39"/>
      <c r="J1" s="39"/>
      <c r="K1" s="39"/>
      <c r="L1" s="39"/>
      <c r="M1" s="39"/>
      <c r="N1" s="39"/>
      <c r="O1" s="39"/>
      <c r="P1" s="39"/>
      <c r="Q1" s="39"/>
      <c r="R1" s="39"/>
      <c r="S1" s="39"/>
      <c r="T1" s="39"/>
      <c r="U1" s="39"/>
      <c r="V1" s="39"/>
      <c r="W1" s="39"/>
      <c r="X1" s="39"/>
      <c r="Y1" s="39"/>
      <c r="Z1" s="39"/>
      <c r="AA1" s="39"/>
    </row>
    <row r="2" spans="1:27" x14ac:dyDescent="0.2">
      <c r="A2" s="39"/>
      <c r="B2" s="39"/>
      <c r="C2" s="39"/>
      <c r="D2" s="39"/>
      <c r="E2" s="39"/>
      <c r="F2" s="39"/>
      <c r="G2" s="39"/>
      <c r="H2" s="39"/>
      <c r="I2" s="39"/>
      <c r="J2" s="39"/>
      <c r="K2" s="39"/>
      <c r="L2" s="39"/>
      <c r="M2" s="39"/>
      <c r="N2" s="39"/>
      <c r="O2" s="39"/>
      <c r="P2" s="39"/>
      <c r="Q2" s="39"/>
      <c r="R2" s="39"/>
      <c r="S2" s="39"/>
      <c r="T2" s="39"/>
      <c r="U2" s="39"/>
      <c r="V2" s="39"/>
      <c r="W2" s="39"/>
      <c r="X2" s="39"/>
      <c r="Y2" s="39"/>
      <c r="Z2" s="39"/>
      <c r="AA2" s="39"/>
    </row>
    <row r="3" spans="1:27" ht="16" thickBot="1" x14ac:dyDescent="0.25">
      <c r="A3" s="39"/>
      <c r="B3" s="39"/>
      <c r="C3" s="39"/>
      <c r="D3" s="39"/>
      <c r="E3" s="39"/>
      <c r="F3" s="39"/>
      <c r="G3" s="39" t="s">
        <v>800</v>
      </c>
      <c r="H3" s="39"/>
      <c r="I3" s="39"/>
      <c r="J3" s="39"/>
      <c r="K3" s="39"/>
      <c r="L3" s="39"/>
      <c r="M3" s="39"/>
      <c r="N3" s="39"/>
      <c r="O3" s="39"/>
      <c r="P3" s="39"/>
      <c r="Q3" s="39"/>
      <c r="R3" s="39"/>
      <c r="S3" s="39"/>
      <c r="T3" s="39"/>
      <c r="U3" s="39"/>
      <c r="V3" s="39"/>
      <c r="W3" s="39"/>
      <c r="X3" s="39"/>
      <c r="Y3" s="39"/>
      <c r="Z3" s="39"/>
      <c r="AA3" s="39"/>
    </row>
    <row r="4" spans="1:27" ht="16" thickBot="1" x14ac:dyDescent="0.25">
      <c r="A4" s="39"/>
      <c r="B4" s="39"/>
      <c r="C4" s="584" t="s">
        <v>754</v>
      </c>
      <c r="D4" s="39"/>
      <c r="E4" s="39"/>
      <c r="F4" s="39"/>
      <c r="G4" s="775">
        <v>45.63</v>
      </c>
      <c r="H4" s="39"/>
      <c r="I4" s="39"/>
      <c r="J4" s="39"/>
      <c r="K4" s="39"/>
      <c r="L4" s="39"/>
      <c r="M4" s="39"/>
      <c r="N4" s="39"/>
      <c r="O4" s="39"/>
      <c r="P4" s="755" t="s">
        <v>771</v>
      </c>
      <c r="Q4" s="755" t="s">
        <v>772</v>
      </c>
      <c r="R4" s="755"/>
      <c r="S4" s="755"/>
      <c r="T4" s="755">
        <v>40</v>
      </c>
      <c r="U4" s="755">
        <v>40</v>
      </c>
      <c r="V4" s="755">
        <v>40</v>
      </c>
      <c r="W4" s="39"/>
      <c r="X4" s="39"/>
      <c r="Y4" s="39"/>
      <c r="Z4" s="39"/>
      <c r="AA4" s="39"/>
    </row>
    <row r="5" spans="1:27" x14ac:dyDescent="0.2">
      <c r="A5" s="39"/>
      <c r="B5" s="39"/>
      <c r="C5" s="427" t="s">
        <v>761</v>
      </c>
      <c r="D5" s="39"/>
      <c r="E5" s="39"/>
      <c r="F5" s="39"/>
      <c r="G5" s="39"/>
      <c r="H5" s="39"/>
      <c r="I5" s="39"/>
      <c r="J5" s="39"/>
      <c r="K5" s="39"/>
      <c r="L5" s="39"/>
      <c r="M5" s="39"/>
      <c r="N5" s="39"/>
      <c r="O5" s="39"/>
      <c r="P5" s="755" t="s">
        <v>768</v>
      </c>
      <c r="Q5" s="755" t="s">
        <v>769</v>
      </c>
      <c r="R5" s="755"/>
      <c r="S5" s="755"/>
      <c r="T5" s="755">
        <v>10</v>
      </c>
      <c r="U5" s="755">
        <v>10</v>
      </c>
      <c r="V5" s="755">
        <v>10</v>
      </c>
      <c r="W5" s="39"/>
      <c r="X5" s="39"/>
      <c r="Y5" s="39"/>
      <c r="Z5" s="39"/>
      <c r="AA5" s="39"/>
    </row>
    <row r="6" spans="1:27" x14ac:dyDescent="0.2">
      <c r="A6" s="39"/>
      <c r="B6" s="39"/>
      <c r="C6" s="39" t="s">
        <v>773</v>
      </c>
      <c r="D6" s="39"/>
      <c r="E6" s="39"/>
      <c r="F6" s="39"/>
      <c r="G6" s="39"/>
      <c r="H6" s="39"/>
      <c r="I6" s="39"/>
      <c r="J6" s="39"/>
      <c r="K6" s="39"/>
      <c r="L6" s="39"/>
      <c r="M6" s="39"/>
      <c r="N6" s="39"/>
      <c r="O6" s="39"/>
      <c r="P6" s="755" t="s">
        <v>767</v>
      </c>
      <c r="Q6" s="755" t="s">
        <v>770</v>
      </c>
      <c r="R6" s="755"/>
      <c r="S6" s="755"/>
      <c r="T6" s="755">
        <v>10</v>
      </c>
      <c r="U6" s="755">
        <v>10</v>
      </c>
      <c r="V6" s="755">
        <v>10</v>
      </c>
      <c r="W6" s="39"/>
      <c r="X6" s="39"/>
      <c r="Y6" s="39"/>
      <c r="Z6" s="39"/>
      <c r="AA6" s="39"/>
    </row>
    <row r="7" spans="1:27" x14ac:dyDescent="0.2">
      <c r="A7" s="39"/>
      <c r="B7" s="39"/>
      <c r="C7" s="39"/>
      <c r="D7" s="39"/>
      <c r="E7" s="39"/>
      <c r="F7" s="39"/>
      <c r="G7" s="39"/>
      <c r="H7" s="39"/>
      <c r="I7" s="39"/>
      <c r="J7" s="39"/>
      <c r="K7" s="39"/>
      <c r="L7" s="39"/>
      <c r="M7" s="39"/>
      <c r="N7" s="39"/>
      <c r="O7" s="39"/>
      <c r="P7" s="755" t="s">
        <v>755</v>
      </c>
      <c r="Q7" s="755" t="s">
        <v>756</v>
      </c>
      <c r="R7" s="755"/>
      <c r="S7" s="755"/>
      <c r="T7" s="755">
        <v>20</v>
      </c>
      <c r="U7" s="755">
        <v>20</v>
      </c>
      <c r="V7" s="755">
        <v>20</v>
      </c>
      <c r="W7" s="39"/>
      <c r="X7" s="39"/>
      <c r="Y7" s="39"/>
      <c r="Z7" s="39"/>
      <c r="AA7" s="39"/>
    </row>
    <row r="8" spans="1:27" x14ac:dyDescent="0.2">
      <c r="A8" s="39"/>
      <c r="B8" s="39"/>
      <c r="C8" s="77" t="s">
        <v>558</v>
      </c>
      <c r="D8" s="77" t="s">
        <v>757</v>
      </c>
      <c r="E8" s="754"/>
      <c r="F8" s="39"/>
      <c r="G8" s="39"/>
      <c r="H8" s="39"/>
      <c r="I8" s="39"/>
      <c r="J8" s="39"/>
      <c r="K8" s="39"/>
      <c r="L8" s="39"/>
      <c r="M8" s="39"/>
      <c r="N8" s="39"/>
      <c r="O8" s="39"/>
      <c r="P8" s="755">
        <v>51.4</v>
      </c>
      <c r="Q8" s="755" t="s">
        <v>774</v>
      </c>
      <c r="R8" s="755"/>
      <c r="S8" s="755"/>
      <c r="T8" s="755">
        <v>51.4</v>
      </c>
      <c r="U8" s="755">
        <v>51.4</v>
      </c>
      <c r="V8" s="755">
        <v>51.4</v>
      </c>
      <c r="W8" s="39"/>
      <c r="X8" s="39"/>
      <c r="Y8" s="39"/>
      <c r="Z8" s="39"/>
      <c r="AA8" s="39"/>
    </row>
    <row r="9" spans="1:27" x14ac:dyDescent="0.2">
      <c r="A9" s="39"/>
      <c r="B9" s="39"/>
      <c r="C9" s="77">
        <v>1</v>
      </c>
      <c r="D9" s="77">
        <v>3</v>
      </c>
      <c r="E9" s="39"/>
      <c r="F9" s="39"/>
      <c r="G9" s="39"/>
      <c r="H9" s="39"/>
      <c r="I9" s="39"/>
      <c r="J9" s="39"/>
      <c r="K9" s="39"/>
      <c r="L9" s="39"/>
      <c r="M9" s="39"/>
      <c r="N9" s="39"/>
      <c r="O9" s="39"/>
      <c r="P9" s="39"/>
      <c r="Q9" s="39"/>
      <c r="R9" s="39"/>
      <c r="S9" s="39"/>
      <c r="T9" s="39"/>
      <c r="U9" s="39"/>
      <c r="V9" s="39"/>
      <c r="W9" s="39"/>
      <c r="X9" s="39"/>
      <c r="Y9" s="39"/>
      <c r="Z9" s="39"/>
      <c r="AA9" s="39"/>
    </row>
    <row r="10" spans="1:27" x14ac:dyDescent="0.2">
      <c r="A10" s="39"/>
      <c r="B10" s="39"/>
      <c r="C10" s="77">
        <v>2</v>
      </c>
      <c r="D10" s="77"/>
      <c r="E10" s="39"/>
      <c r="F10" s="39"/>
      <c r="G10" s="39"/>
      <c r="H10" s="39"/>
      <c r="I10" s="39"/>
      <c r="J10" s="39"/>
      <c r="K10" s="39"/>
      <c r="L10" s="39"/>
      <c r="M10" s="39"/>
      <c r="N10" s="39"/>
      <c r="O10" s="39"/>
      <c r="P10" s="39"/>
      <c r="Q10" s="39"/>
      <c r="R10" s="39"/>
      <c r="S10" s="39"/>
      <c r="T10" s="39"/>
      <c r="U10" s="39"/>
      <c r="V10" s="39"/>
      <c r="W10" s="39"/>
      <c r="X10" s="39"/>
      <c r="Y10" s="39"/>
      <c r="Z10" s="39"/>
      <c r="AA10" s="39"/>
    </row>
    <row r="11" spans="1:27" x14ac:dyDescent="0.2">
      <c r="A11" s="39"/>
      <c r="B11" s="39"/>
      <c r="C11" s="77">
        <v>3</v>
      </c>
      <c r="D11" s="77"/>
      <c r="E11" s="39"/>
      <c r="F11" s="39"/>
      <c r="G11" s="39"/>
      <c r="H11" s="39"/>
      <c r="I11" s="39"/>
      <c r="J11" s="39"/>
      <c r="K11" s="39"/>
      <c r="L11" s="39"/>
      <c r="M11" s="39"/>
      <c r="N11" s="39"/>
      <c r="O11" s="39"/>
      <c r="P11" s="39"/>
      <c r="Q11" s="39"/>
      <c r="R11" s="39"/>
      <c r="S11" s="39"/>
      <c r="T11" s="39"/>
      <c r="U11" s="39"/>
      <c r="V11" s="39"/>
      <c r="W11" s="39"/>
      <c r="X11" s="39"/>
      <c r="Y11" s="39"/>
      <c r="Z11" s="39"/>
      <c r="AA11" s="39"/>
    </row>
    <row r="12" spans="1:27" x14ac:dyDescent="0.2">
      <c r="A12" s="39"/>
      <c r="B12" s="39"/>
      <c r="C12" s="77">
        <v>4</v>
      </c>
      <c r="D12" s="77"/>
      <c r="E12" s="39"/>
      <c r="F12" s="39"/>
      <c r="G12" s="39"/>
      <c r="H12" s="39"/>
      <c r="I12" s="39"/>
      <c r="J12" s="39"/>
      <c r="K12" s="39"/>
      <c r="L12" s="39"/>
      <c r="M12" s="39"/>
      <c r="N12" s="39"/>
      <c r="O12" s="39"/>
      <c r="P12" s="39"/>
      <c r="Q12" s="39"/>
      <c r="R12" s="39"/>
      <c r="S12" s="39"/>
      <c r="T12" s="39"/>
      <c r="U12" s="39"/>
      <c r="V12" s="39"/>
      <c r="W12" s="39"/>
      <c r="X12" s="39"/>
      <c r="Y12" s="39"/>
      <c r="Z12" s="39"/>
      <c r="AA12" s="39"/>
    </row>
    <row r="13" spans="1:27" x14ac:dyDescent="0.2">
      <c r="A13" s="39"/>
      <c r="B13" s="39"/>
      <c r="C13" s="77">
        <v>5</v>
      </c>
      <c r="D13" s="77">
        <v>0</v>
      </c>
      <c r="E13" s="39"/>
      <c r="F13" s="39"/>
      <c r="G13" s="39"/>
      <c r="H13" s="39"/>
      <c r="I13" s="39"/>
      <c r="J13" s="39"/>
      <c r="K13" s="39"/>
      <c r="L13" s="39"/>
      <c r="M13" s="39"/>
      <c r="N13" s="39"/>
      <c r="O13" s="39"/>
      <c r="P13" s="39"/>
      <c r="Q13" s="39"/>
      <c r="R13" s="39"/>
      <c r="S13" s="39"/>
      <c r="T13" s="39"/>
      <c r="U13" s="39"/>
      <c r="V13" s="39"/>
      <c r="W13" s="39"/>
      <c r="X13" s="39"/>
      <c r="Y13" s="39"/>
      <c r="Z13" s="39"/>
      <c r="AA13" s="39"/>
    </row>
    <row r="14" spans="1:27" x14ac:dyDescent="0.2">
      <c r="A14" s="39"/>
      <c r="B14" s="39"/>
      <c r="C14" s="77">
        <v>6</v>
      </c>
      <c r="D14" s="77">
        <v>3</v>
      </c>
      <c r="E14" s="39"/>
      <c r="F14" s="39"/>
      <c r="G14" s="39"/>
      <c r="H14" s="39"/>
      <c r="I14" s="39"/>
      <c r="J14" s="39"/>
      <c r="K14" s="39"/>
      <c r="L14" s="39"/>
      <c r="M14" s="39"/>
      <c r="N14" s="39"/>
      <c r="O14" s="39"/>
      <c r="P14" s="39"/>
      <c r="Q14" s="39"/>
      <c r="R14" s="39"/>
      <c r="S14" s="39"/>
      <c r="T14" s="39"/>
      <c r="U14" s="39"/>
      <c r="V14" s="39"/>
      <c r="W14" s="39"/>
      <c r="X14" s="39"/>
      <c r="Y14" s="39"/>
      <c r="Z14" s="39"/>
      <c r="AA14" s="39"/>
    </row>
    <row r="15" spans="1:27" x14ac:dyDescent="0.2">
      <c r="A15" s="39"/>
      <c r="B15" s="39"/>
      <c r="C15" s="77">
        <v>7</v>
      </c>
      <c r="D15" s="77">
        <v>0</v>
      </c>
      <c r="E15" s="39"/>
      <c r="F15" s="39"/>
      <c r="G15" s="39"/>
      <c r="H15" s="39"/>
      <c r="I15" s="39"/>
      <c r="J15" s="39"/>
      <c r="K15" s="39"/>
      <c r="L15" s="39"/>
      <c r="M15" s="39"/>
      <c r="N15" s="39"/>
      <c r="O15" s="39"/>
      <c r="P15" s="39"/>
      <c r="Q15" s="39"/>
      <c r="R15" s="39"/>
      <c r="S15" s="39"/>
      <c r="T15" s="39"/>
      <c r="U15" s="39"/>
      <c r="V15" s="39"/>
      <c r="W15" s="39"/>
      <c r="X15" s="39"/>
      <c r="Y15" s="39"/>
      <c r="Z15" s="39"/>
      <c r="AA15" s="39"/>
    </row>
    <row r="16" spans="1:27" x14ac:dyDescent="0.2">
      <c r="A16" s="39"/>
      <c r="B16" s="39"/>
      <c r="C16" s="77">
        <v>8</v>
      </c>
      <c r="D16" s="77">
        <v>0</v>
      </c>
      <c r="E16" s="39"/>
      <c r="F16" s="39"/>
      <c r="G16" s="39"/>
      <c r="H16" s="39"/>
      <c r="I16" s="39"/>
      <c r="J16" s="39"/>
      <c r="K16" s="39"/>
      <c r="L16" s="39"/>
      <c r="M16" s="39"/>
      <c r="N16" s="39"/>
      <c r="O16" s="39"/>
      <c r="P16" s="39"/>
      <c r="Q16" s="39"/>
      <c r="R16" s="39"/>
      <c r="S16" s="39"/>
      <c r="T16" s="39"/>
      <c r="U16" s="39"/>
      <c r="V16" s="39"/>
      <c r="W16" s="39"/>
      <c r="X16" s="39"/>
      <c r="Y16" s="39"/>
      <c r="Z16" s="39"/>
      <c r="AA16" s="39"/>
    </row>
    <row r="17" spans="1:27" x14ac:dyDescent="0.2">
      <c r="A17" s="39"/>
      <c r="B17" s="39"/>
      <c r="C17" s="77">
        <v>9</v>
      </c>
      <c r="D17" s="77">
        <v>0</v>
      </c>
      <c r="E17" s="39"/>
      <c r="F17" s="39"/>
      <c r="G17" s="39"/>
      <c r="H17" s="39"/>
      <c r="I17" s="39"/>
      <c r="J17" s="39"/>
      <c r="K17" s="39"/>
      <c r="L17" s="39"/>
      <c r="M17" s="39"/>
      <c r="N17" s="39"/>
      <c r="O17" s="39"/>
      <c r="P17" s="39"/>
      <c r="Q17" s="39"/>
      <c r="R17" s="39"/>
      <c r="S17" s="39"/>
      <c r="T17" s="39"/>
      <c r="U17" s="39"/>
      <c r="V17" s="39"/>
      <c r="W17" s="39"/>
      <c r="X17" s="39"/>
      <c r="Y17" s="39"/>
      <c r="Z17" s="39"/>
      <c r="AA17" s="39"/>
    </row>
    <row r="18" spans="1:27" x14ac:dyDescent="0.2">
      <c r="A18" s="39"/>
      <c r="B18" s="39"/>
      <c r="C18" s="77">
        <v>10</v>
      </c>
      <c r="D18" s="77"/>
      <c r="E18" s="39"/>
      <c r="F18" s="39"/>
      <c r="G18" s="39"/>
      <c r="H18" s="39"/>
      <c r="I18" s="39"/>
      <c r="J18" s="39"/>
      <c r="K18" s="39"/>
      <c r="L18" s="39"/>
      <c r="M18" s="39"/>
      <c r="N18" s="39"/>
      <c r="O18" s="39"/>
      <c r="P18" s="39"/>
      <c r="Q18" s="39"/>
      <c r="R18" s="39"/>
      <c r="S18" s="39"/>
      <c r="T18" s="39"/>
      <c r="U18" s="39"/>
      <c r="V18" s="39"/>
      <c r="W18" s="39"/>
      <c r="X18" s="39"/>
      <c r="Y18" s="39"/>
      <c r="Z18" s="39"/>
      <c r="AA18" s="39"/>
    </row>
    <row r="19" spans="1:27" x14ac:dyDescent="0.2">
      <c r="A19" s="39"/>
      <c r="B19" s="39"/>
      <c r="C19" s="77">
        <v>11</v>
      </c>
      <c r="D19" s="77"/>
      <c r="E19" s="39"/>
      <c r="F19" s="39"/>
      <c r="G19" s="39"/>
      <c r="H19" s="39"/>
      <c r="I19" s="39"/>
      <c r="J19" s="39"/>
      <c r="K19" s="39"/>
      <c r="L19" s="39"/>
      <c r="M19" s="39"/>
      <c r="N19" s="39"/>
      <c r="O19" s="39"/>
      <c r="P19" s="39"/>
      <c r="Q19" s="39"/>
      <c r="R19" s="39"/>
      <c r="S19" s="39"/>
      <c r="T19" s="39"/>
      <c r="U19" s="39"/>
      <c r="V19" s="39"/>
      <c r="W19" s="39"/>
      <c r="X19" s="39"/>
      <c r="Y19" s="39"/>
      <c r="Z19" s="39"/>
      <c r="AA19" s="39"/>
    </row>
    <row r="20" spans="1:27" x14ac:dyDescent="0.2">
      <c r="A20" s="39"/>
      <c r="B20" s="39"/>
      <c r="C20" s="77">
        <v>12</v>
      </c>
      <c r="D20" s="77">
        <v>2</v>
      </c>
      <c r="E20" s="39"/>
      <c r="F20" s="39"/>
      <c r="G20" s="39"/>
      <c r="H20" s="39"/>
      <c r="I20" s="39"/>
      <c r="J20" s="39"/>
      <c r="K20" s="39"/>
      <c r="L20" s="39"/>
      <c r="M20" s="39"/>
      <c r="N20" s="39"/>
      <c r="O20" s="39"/>
      <c r="P20" s="39"/>
      <c r="Q20" s="39"/>
      <c r="R20" s="39"/>
      <c r="S20" s="39"/>
      <c r="T20" s="39"/>
      <c r="U20" s="39"/>
      <c r="V20" s="39"/>
      <c r="W20" s="39"/>
      <c r="X20" s="39"/>
      <c r="Y20" s="39"/>
      <c r="Z20" s="39"/>
      <c r="AA20" s="39"/>
    </row>
    <row r="21" spans="1:27" x14ac:dyDescent="0.2">
      <c r="A21" s="39"/>
      <c r="B21" s="39"/>
      <c r="C21" s="77">
        <v>13</v>
      </c>
      <c r="D21" s="77"/>
      <c r="E21" s="39"/>
      <c r="F21" s="39"/>
      <c r="G21" s="39"/>
      <c r="H21" s="39"/>
      <c r="I21" s="39"/>
      <c r="J21" s="39"/>
      <c r="K21" s="39"/>
      <c r="L21" s="39"/>
      <c r="M21" s="39"/>
      <c r="N21" s="39"/>
      <c r="O21" s="39"/>
      <c r="P21" s="39"/>
      <c r="Q21" s="39"/>
      <c r="R21" s="39"/>
      <c r="S21" s="39"/>
      <c r="T21" s="39"/>
      <c r="U21" s="39"/>
      <c r="V21" s="39"/>
      <c r="W21" s="39"/>
      <c r="X21" s="39"/>
      <c r="Y21" s="39"/>
      <c r="Z21" s="39"/>
      <c r="AA21" s="39"/>
    </row>
    <row r="22" spans="1:27" x14ac:dyDescent="0.2">
      <c r="A22" s="39"/>
      <c r="B22" s="39"/>
      <c r="C22" s="77">
        <v>14</v>
      </c>
      <c r="D22" s="77"/>
      <c r="E22" s="39"/>
      <c r="F22" s="39"/>
      <c r="G22" s="39"/>
      <c r="H22" s="39"/>
      <c r="I22" s="39"/>
      <c r="J22" s="39"/>
      <c r="K22" s="39"/>
      <c r="L22" s="39"/>
      <c r="M22" s="39"/>
      <c r="N22" s="39"/>
      <c r="O22" s="39"/>
      <c r="P22" s="39"/>
      <c r="Q22" s="39"/>
      <c r="R22" s="39"/>
      <c r="S22" s="39"/>
      <c r="T22" s="39"/>
      <c r="U22" s="39"/>
      <c r="V22" s="39"/>
      <c r="W22" s="39"/>
      <c r="X22" s="39"/>
      <c r="Y22" s="39"/>
      <c r="Z22" s="39"/>
      <c r="AA22" s="39"/>
    </row>
    <row r="23" spans="1:27" x14ac:dyDescent="0.2">
      <c r="A23" s="39"/>
      <c r="B23" s="39"/>
      <c r="C23" s="77">
        <v>15</v>
      </c>
      <c r="D23" s="77"/>
      <c r="E23" s="39"/>
      <c r="F23" s="39"/>
      <c r="G23" s="39"/>
      <c r="H23" s="39"/>
      <c r="I23" s="39"/>
      <c r="J23" s="39"/>
      <c r="K23" s="39"/>
      <c r="L23" s="39"/>
      <c r="M23" s="39"/>
      <c r="N23" s="39"/>
      <c r="O23" s="39"/>
      <c r="P23" s="39"/>
      <c r="Q23" s="39"/>
      <c r="R23" s="39"/>
      <c r="S23" s="39"/>
      <c r="T23" s="39"/>
      <c r="U23" s="39"/>
      <c r="V23" s="39"/>
      <c r="W23" s="39"/>
      <c r="X23" s="39"/>
      <c r="Y23" s="39"/>
      <c r="Z23" s="39"/>
      <c r="AA23" s="39"/>
    </row>
    <row r="24" spans="1:27" x14ac:dyDescent="0.2">
      <c r="A24" s="39"/>
      <c r="B24" s="39"/>
      <c r="C24" s="77">
        <v>16</v>
      </c>
      <c r="D24" s="77"/>
      <c r="E24" s="39"/>
      <c r="F24" s="39"/>
      <c r="G24" s="39"/>
      <c r="H24" s="39"/>
      <c r="I24" s="39"/>
      <c r="J24" s="39"/>
      <c r="K24" s="39"/>
      <c r="L24" s="39"/>
      <c r="M24" s="39"/>
      <c r="N24" s="39"/>
      <c r="O24" s="39"/>
      <c r="P24" s="39"/>
      <c r="Q24" s="39"/>
      <c r="R24" s="39"/>
      <c r="S24" s="39"/>
      <c r="T24" s="39"/>
      <c r="U24" s="39"/>
      <c r="V24" s="39"/>
      <c r="W24" s="39"/>
      <c r="X24" s="39"/>
      <c r="Y24" s="39"/>
      <c r="Z24" s="39"/>
      <c r="AA24" s="39"/>
    </row>
    <row r="25" spans="1:27" x14ac:dyDescent="0.2">
      <c r="A25" s="39"/>
      <c r="B25" s="39"/>
      <c r="C25" s="77">
        <v>17</v>
      </c>
      <c r="D25" s="77">
        <v>0</v>
      </c>
      <c r="E25" s="39"/>
      <c r="F25" s="39"/>
      <c r="G25" s="39"/>
      <c r="H25" s="39"/>
      <c r="I25" s="39"/>
      <c r="J25" s="39"/>
      <c r="K25" s="39"/>
      <c r="L25" s="39"/>
      <c r="M25" s="39"/>
      <c r="N25" s="39"/>
      <c r="O25" s="39"/>
      <c r="P25" s="39"/>
      <c r="Q25" s="39"/>
      <c r="R25" s="39"/>
      <c r="S25" s="39"/>
      <c r="T25" s="39"/>
      <c r="U25" s="39"/>
      <c r="V25" s="39"/>
      <c r="W25" s="39"/>
      <c r="X25" s="39"/>
      <c r="Y25" s="39"/>
      <c r="Z25" s="39"/>
      <c r="AA25" s="39"/>
    </row>
    <row r="26" spans="1:27" x14ac:dyDescent="0.2">
      <c r="A26" s="39"/>
      <c r="B26" s="39"/>
      <c r="C26" s="77">
        <v>18</v>
      </c>
      <c r="D26" s="77">
        <v>1</v>
      </c>
      <c r="E26" s="39"/>
      <c r="F26" s="39"/>
      <c r="G26" s="39"/>
      <c r="H26" s="39"/>
      <c r="I26" s="39"/>
      <c r="J26" s="39"/>
      <c r="K26" s="39"/>
      <c r="L26" s="39"/>
      <c r="M26" s="39"/>
      <c r="N26" s="39"/>
      <c r="O26" s="39"/>
      <c r="P26" s="39"/>
      <c r="Q26" s="39"/>
      <c r="R26" s="39"/>
      <c r="S26" s="39"/>
      <c r="T26" s="39"/>
      <c r="U26" s="39"/>
      <c r="V26" s="39"/>
      <c r="W26" s="39"/>
      <c r="X26" s="39"/>
      <c r="Y26" s="39"/>
      <c r="Z26" s="39"/>
      <c r="AA26" s="39"/>
    </row>
    <row r="27" spans="1:27" x14ac:dyDescent="0.2">
      <c r="A27" s="39"/>
      <c r="B27" s="39"/>
      <c r="C27" s="77">
        <v>19</v>
      </c>
      <c r="D27" s="77"/>
      <c r="E27" s="39"/>
      <c r="F27" s="39"/>
      <c r="G27" s="39"/>
      <c r="H27" s="39"/>
      <c r="I27" s="39"/>
      <c r="J27" s="39"/>
      <c r="K27" s="39"/>
      <c r="L27" s="39"/>
      <c r="M27" s="39"/>
      <c r="N27" s="39"/>
      <c r="O27" s="39"/>
      <c r="P27" s="39"/>
      <c r="Q27" s="39"/>
      <c r="R27" s="39"/>
      <c r="S27" s="39"/>
      <c r="T27" s="39"/>
      <c r="U27" s="39"/>
      <c r="V27" s="39"/>
      <c r="W27" s="39"/>
      <c r="X27" s="39"/>
      <c r="Y27" s="39"/>
      <c r="Z27" s="39"/>
      <c r="AA27" s="39"/>
    </row>
    <row r="28" spans="1:27" x14ac:dyDescent="0.2">
      <c r="A28" s="39"/>
      <c r="B28" s="39"/>
      <c r="C28" s="77">
        <v>20</v>
      </c>
      <c r="D28" s="77"/>
      <c r="E28" s="39"/>
      <c r="F28" s="39"/>
      <c r="G28" s="39"/>
      <c r="H28" s="39"/>
      <c r="I28" s="39"/>
      <c r="J28" s="39"/>
      <c r="K28" s="39"/>
      <c r="L28" s="39"/>
      <c r="M28" s="39"/>
      <c r="N28" s="39"/>
      <c r="O28" s="39"/>
      <c r="P28" s="39"/>
      <c r="Q28" s="39"/>
      <c r="R28" s="39"/>
      <c r="S28" s="39"/>
      <c r="T28" s="39"/>
      <c r="U28" s="39"/>
      <c r="V28" s="39"/>
      <c r="W28" s="39"/>
      <c r="X28" s="39"/>
      <c r="Y28" s="39"/>
      <c r="Z28" s="39"/>
      <c r="AA28" s="39"/>
    </row>
    <row r="29" spans="1:27" x14ac:dyDescent="0.2">
      <c r="A29" s="39"/>
      <c r="B29" s="39"/>
      <c r="C29" s="77">
        <v>21</v>
      </c>
      <c r="D29" s="77">
        <v>4</v>
      </c>
      <c r="E29" s="39"/>
      <c r="F29" s="39"/>
      <c r="G29" s="39"/>
      <c r="H29" s="39"/>
      <c r="I29" s="39"/>
      <c r="J29" s="39"/>
      <c r="K29" s="39"/>
      <c r="L29" s="39"/>
      <c r="M29" s="39"/>
      <c r="N29" s="39"/>
      <c r="O29" s="39"/>
      <c r="P29" s="39"/>
      <c r="Q29" s="39"/>
      <c r="R29" s="39"/>
      <c r="S29" s="39"/>
      <c r="T29" s="39"/>
      <c r="U29" s="39"/>
      <c r="V29" s="39"/>
      <c r="W29" s="39"/>
      <c r="X29" s="39"/>
      <c r="Y29" s="39"/>
      <c r="Z29" s="39"/>
      <c r="AA29" s="39"/>
    </row>
    <row r="30" spans="1:27" x14ac:dyDescent="0.2">
      <c r="A30" s="39"/>
      <c r="B30" s="39"/>
      <c r="C30" s="77">
        <v>22</v>
      </c>
      <c r="D30" s="77">
        <v>4</v>
      </c>
      <c r="E30" s="39"/>
      <c r="F30" s="39"/>
      <c r="G30" s="39"/>
      <c r="H30" s="39"/>
      <c r="I30" s="39"/>
      <c r="J30" s="39"/>
      <c r="K30" s="39"/>
      <c r="L30" s="39"/>
      <c r="M30" s="39"/>
      <c r="N30" s="39"/>
      <c r="O30" s="39"/>
      <c r="P30" s="39"/>
      <c r="Q30" s="39"/>
      <c r="R30" s="39"/>
      <c r="S30" s="39"/>
      <c r="T30" s="39"/>
      <c r="U30" s="39"/>
      <c r="V30" s="39"/>
      <c r="W30" s="39"/>
      <c r="X30" s="39"/>
      <c r="Y30" s="39"/>
      <c r="Z30" s="39"/>
      <c r="AA30" s="39"/>
    </row>
    <row r="31" spans="1:27" x14ac:dyDescent="0.2">
      <c r="A31" s="39"/>
      <c r="B31" s="39"/>
      <c r="C31" s="77">
        <v>23</v>
      </c>
      <c r="D31" s="77"/>
      <c r="E31" s="39"/>
      <c r="F31" s="39"/>
      <c r="G31" s="39"/>
      <c r="H31" s="39"/>
      <c r="I31" s="39"/>
      <c r="J31" s="39"/>
      <c r="K31" s="39"/>
      <c r="L31" s="39"/>
      <c r="M31" s="39"/>
      <c r="N31" s="39"/>
      <c r="O31" s="39"/>
      <c r="P31" s="39"/>
      <c r="Q31" s="39"/>
      <c r="R31" s="39"/>
      <c r="S31" s="39"/>
      <c r="T31" s="39"/>
      <c r="U31" s="39"/>
      <c r="V31" s="39"/>
      <c r="W31" s="39"/>
      <c r="X31" s="39"/>
      <c r="Y31" s="39"/>
      <c r="Z31" s="39"/>
      <c r="AA31" s="39"/>
    </row>
    <row r="32" spans="1:27" x14ac:dyDescent="0.2">
      <c r="A32" s="39"/>
      <c r="B32" s="39"/>
      <c r="C32" s="77">
        <v>24</v>
      </c>
      <c r="D32" s="77"/>
      <c r="E32" s="39"/>
      <c r="F32" s="39"/>
      <c r="G32" s="39"/>
      <c r="H32" s="39"/>
      <c r="I32" s="39"/>
      <c r="J32" s="39"/>
      <c r="K32" s="39"/>
      <c r="L32" s="39"/>
      <c r="M32" s="39"/>
      <c r="N32" s="39"/>
      <c r="O32" s="39"/>
      <c r="P32" s="39"/>
      <c r="Q32" s="39"/>
      <c r="R32" s="39"/>
      <c r="S32" s="39"/>
      <c r="T32" s="39"/>
      <c r="U32" s="39"/>
      <c r="V32" s="39"/>
      <c r="W32" s="39"/>
      <c r="X32" s="39"/>
      <c r="Y32" s="39"/>
      <c r="Z32" s="39"/>
      <c r="AA32" s="39"/>
    </row>
    <row r="33" spans="1:27" x14ac:dyDescent="0.2">
      <c r="A33" s="39"/>
      <c r="B33" s="39"/>
      <c r="C33" s="77">
        <v>25</v>
      </c>
      <c r="D33" s="77">
        <v>3</v>
      </c>
      <c r="E33" s="39"/>
      <c r="F33" s="39"/>
      <c r="G33" s="39"/>
      <c r="H33" s="39"/>
      <c r="I33" s="39"/>
      <c r="J33" s="39"/>
      <c r="K33" s="39"/>
      <c r="L33" s="39"/>
      <c r="M33" s="39"/>
      <c r="N33" s="39"/>
      <c r="O33" s="39"/>
      <c r="P33" s="39"/>
      <c r="Q33" s="39"/>
      <c r="R33" s="39"/>
      <c r="S33" s="39"/>
      <c r="T33" s="39"/>
      <c r="U33" s="39"/>
      <c r="V33" s="39"/>
      <c r="W33" s="39"/>
      <c r="X33" s="39"/>
      <c r="Y33" s="39"/>
      <c r="Z33" s="39"/>
      <c r="AA33" s="39"/>
    </row>
    <row r="34" spans="1:27" x14ac:dyDescent="0.2">
      <c r="A34" s="39"/>
      <c r="B34" s="39"/>
      <c r="C34" s="77">
        <v>26</v>
      </c>
      <c r="D34" s="77"/>
      <c r="E34" s="39"/>
      <c r="F34" s="39" t="s">
        <v>758</v>
      </c>
      <c r="G34" s="39">
        <f>COUNTBLANK(D9:D38)</f>
        <v>17</v>
      </c>
      <c r="H34" s="39"/>
      <c r="I34" s="39"/>
      <c r="J34" s="39"/>
      <c r="K34" s="39"/>
      <c r="L34" s="39"/>
      <c r="M34" s="39"/>
      <c r="N34" s="755">
        <v>0</v>
      </c>
      <c r="O34" s="755" t="s">
        <v>762</v>
      </c>
      <c r="P34" s="755"/>
      <c r="Q34" s="755"/>
      <c r="R34" s="755"/>
      <c r="S34" s="755"/>
      <c r="T34" s="755">
        <v>25</v>
      </c>
      <c r="U34" s="755">
        <v>25</v>
      </c>
      <c r="V34" s="755">
        <v>25</v>
      </c>
      <c r="W34" s="39"/>
      <c r="X34" s="39"/>
      <c r="Y34" s="39"/>
      <c r="Z34" s="39"/>
      <c r="AA34" s="39"/>
    </row>
    <row r="35" spans="1:27" x14ac:dyDescent="0.2">
      <c r="A35" s="39"/>
      <c r="B35" s="39"/>
      <c r="C35" s="77">
        <v>27</v>
      </c>
      <c r="D35" s="77">
        <v>0</v>
      </c>
      <c r="E35" s="39"/>
      <c r="F35" s="39" t="s">
        <v>759</v>
      </c>
      <c r="G35" s="39">
        <f>30-G34</f>
        <v>13</v>
      </c>
      <c r="H35" s="39"/>
      <c r="I35" s="39"/>
      <c r="J35" s="39"/>
      <c r="K35" s="39"/>
      <c r="L35" s="39"/>
      <c r="M35" s="39"/>
      <c r="N35" s="755">
        <v>25</v>
      </c>
      <c r="O35" s="755" t="s">
        <v>763</v>
      </c>
      <c r="P35" s="755"/>
      <c r="Q35" s="755"/>
      <c r="R35" s="755"/>
      <c r="S35" s="755"/>
      <c r="T35" s="755">
        <v>25</v>
      </c>
      <c r="U35" s="755">
        <v>25</v>
      </c>
      <c r="V35" s="755">
        <v>25</v>
      </c>
      <c r="W35" s="39"/>
      <c r="X35" s="39"/>
      <c r="Y35" s="39"/>
      <c r="Z35" s="39"/>
      <c r="AA35" s="39"/>
    </row>
    <row r="36" spans="1:27" x14ac:dyDescent="0.2">
      <c r="A36" s="39"/>
      <c r="B36" s="39"/>
      <c r="C36" s="77">
        <v>28</v>
      </c>
      <c r="D36" s="77"/>
      <c r="E36" s="39"/>
      <c r="F36" s="39" t="s">
        <v>775</v>
      </c>
      <c r="G36" s="39">
        <f>SUM(D9:D38)</f>
        <v>20</v>
      </c>
      <c r="H36" s="39"/>
      <c r="I36" s="39" t="s">
        <v>760</v>
      </c>
      <c r="J36" s="39"/>
      <c r="K36" s="39"/>
      <c r="L36" s="39"/>
      <c r="M36" s="39"/>
      <c r="N36" s="755">
        <v>50</v>
      </c>
      <c r="O36" s="755" t="s">
        <v>764</v>
      </c>
      <c r="P36" s="755"/>
      <c r="Q36" s="755"/>
      <c r="R36" s="755"/>
      <c r="S36" s="755"/>
      <c r="T36" s="755">
        <v>25</v>
      </c>
      <c r="U36" s="755">
        <v>25</v>
      </c>
      <c r="V36" s="755">
        <v>25</v>
      </c>
      <c r="W36" s="39"/>
      <c r="X36" s="39"/>
      <c r="Y36" s="39"/>
      <c r="Z36" s="39"/>
      <c r="AA36" s="39"/>
    </row>
    <row r="37" spans="1:27" x14ac:dyDescent="0.2">
      <c r="A37" s="39"/>
      <c r="B37" s="39"/>
      <c r="C37" s="77">
        <v>29</v>
      </c>
      <c r="D37" s="77"/>
      <c r="E37" s="39"/>
      <c r="F37" s="39" t="s">
        <v>399</v>
      </c>
      <c r="G37" s="39">
        <f>G36/G35</f>
        <v>1.5384615384615385</v>
      </c>
      <c r="H37" s="39"/>
      <c r="I37" s="39">
        <f>G37*25</f>
        <v>38.461538461538467</v>
      </c>
      <c r="J37" s="39"/>
      <c r="K37" s="39"/>
      <c r="L37" s="755">
        <f>I37</f>
        <v>38.461538461538467</v>
      </c>
      <c r="M37" s="39"/>
      <c r="N37" s="755">
        <v>75</v>
      </c>
      <c r="O37" s="755" t="s">
        <v>765</v>
      </c>
      <c r="P37" s="755"/>
      <c r="Q37" s="755"/>
      <c r="R37" s="755"/>
      <c r="S37" s="755"/>
      <c r="T37" s="755">
        <v>25</v>
      </c>
      <c r="U37" s="755">
        <v>25</v>
      </c>
      <c r="V37" s="755">
        <v>25</v>
      </c>
      <c r="W37" s="39"/>
      <c r="X37" s="39"/>
      <c r="Y37" s="39"/>
      <c r="Z37" s="39"/>
      <c r="AA37" s="39"/>
    </row>
    <row r="38" spans="1:27" x14ac:dyDescent="0.2">
      <c r="A38" s="39"/>
      <c r="B38" s="39"/>
      <c r="C38" s="77">
        <v>30</v>
      </c>
      <c r="D38" s="77"/>
      <c r="E38" s="39"/>
      <c r="F38" s="39"/>
      <c r="G38" s="39"/>
      <c r="H38" s="39"/>
      <c r="I38" s="39"/>
      <c r="J38" s="39"/>
      <c r="K38" s="39"/>
      <c r="L38" s="39"/>
      <c r="M38" s="39"/>
      <c r="N38" s="755">
        <v>100</v>
      </c>
      <c r="O38" s="755" t="s">
        <v>766</v>
      </c>
      <c r="P38" s="755"/>
      <c r="Q38" s="755"/>
      <c r="R38" s="755"/>
      <c r="S38" s="755"/>
      <c r="T38" s="755">
        <v>0</v>
      </c>
      <c r="U38" s="755">
        <v>0</v>
      </c>
      <c r="V38" s="755">
        <v>0</v>
      </c>
      <c r="W38" s="39"/>
      <c r="X38" s="39"/>
      <c r="Y38" s="39"/>
      <c r="Z38" s="39"/>
      <c r="AA38" s="39"/>
    </row>
    <row r="39" spans="1:27" x14ac:dyDescent="0.2">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row>
    <row r="40" spans="1:27" x14ac:dyDescent="0.2">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c r="AA40" s="39"/>
    </row>
    <row r="41" spans="1:27" x14ac:dyDescent="0.2">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row>
    <row r="42" spans="1:27" x14ac:dyDescent="0.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row>
    <row r="43" spans="1:27" x14ac:dyDescent="0.2">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row>
    <row r="44" spans="1:27" x14ac:dyDescent="0.2">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FB755-207C-44C4-91CA-2F904B1936F0}">
  <sheetPr>
    <tabColor rgb="FF92D050"/>
  </sheetPr>
  <dimension ref="E1:T133"/>
  <sheetViews>
    <sheetView topLeftCell="E1" workbookViewId="0">
      <selection activeCell="Z225" sqref="Z225"/>
    </sheetView>
  </sheetViews>
  <sheetFormatPr baseColWidth="10" defaultColWidth="9.1640625" defaultRowHeight="15" x14ac:dyDescent="0.2"/>
  <cols>
    <col min="1" max="16384" width="9.1640625" style="40"/>
  </cols>
  <sheetData>
    <row r="1" spans="5:20" ht="21" x14ac:dyDescent="0.25">
      <c r="E1" s="223" t="s">
        <v>326</v>
      </c>
      <c r="T1" s="223" t="s">
        <v>327</v>
      </c>
    </row>
    <row r="63" spans="5:20" ht="21" x14ac:dyDescent="0.25">
      <c r="E63" s="223" t="s">
        <v>328</v>
      </c>
      <c r="T63" s="223" t="s">
        <v>350</v>
      </c>
    </row>
    <row r="133" spans="5:5" ht="24" x14ac:dyDescent="0.3">
      <c r="E133" s="344" t="s">
        <v>423</v>
      </c>
    </row>
  </sheetData>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CAB05-D8E8-4629-A20A-4042CEBAC879}">
  <sheetPr>
    <tabColor rgb="FF92D050"/>
  </sheetPr>
  <dimension ref="A1:AM58"/>
  <sheetViews>
    <sheetView workbookViewId="0">
      <selection activeCell="E10" sqref="E10"/>
    </sheetView>
  </sheetViews>
  <sheetFormatPr baseColWidth="10" defaultColWidth="8.83203125" defaultRowHeight="15" x14ac:dyDescent="0.2"/>
  <sheetData>
    <row r="1" spans="1:39" ht="24" x14ac:dyDescent="0.3">
      <c r="A1" s="40"/>
      <c r="B1" s="344" t="s">
        <v>1</v>
      </c>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row>
    <row r="2" spans="1:39" x14ac:dyDescent="0.2">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row>
    <row r="3" spans="1:39" ht="16" x14ac:dyDescent="0.2">
      <c r="A3" s="40"/>
      <c r="B3" s="138" t="str">
        <f>IF('Front Page &amp; Raw Test Scores'!D26="TOPF","Calculated using raw scores","Calculated using substituted DRE/STW2 scores")</f>
        <v>Calculated using raw scores</v>
      </c>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row>
    <row r="4" spans="1:39" ht="16" thickBot="1" x14ac:dyDescent="0.25">
      <c r="A4" s="40"/>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row>
    <row r="5" spans="1:39" ht="16" x14ac:dyDescent="0.2">
      <c r="A5" s="40"/>
      <c r="B5" s="150"/>
      <c r="C5" s="151" t="s">
        <v>235</v>
      </c>
      <c r="D5" s="152" t="s">
        <v>236</v>
      </c>
      <c r="E5" s="152" t="s">
        <v>1</v>
      </c>
      <c r="F5" s="153" t="s">
        <v>237</v>
      </c>
      <c r="G5" s="153" t="s">
        <v>238</v>
      </c>
      <c r="H5" s="152" t="s">
        <v>239</v>
      </c>
      <c r="I5" s="152" t="s">
        <v>240</v>
      </c>
      <c r="J5" s="54"/>
      <c r="K5" s="55"/>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row>
    <row r="6" spans="1:39" ht="16" x14ac:dyDescent="0.2">
      <c r="A6" s="40"/>
      <c r="B6" s="154" t="s">
        <v>76</v>
      </c>
      <c r="C6" s="155"/>
      <c r="D6" s="156">
        <v>29.991</v>
      </c>
      <c r="E6" s="156">
        <v>2.0942599999999998</v>
      </c>
      <c r="F6" s="155">
        <v>-4.0455900000000003E-2</v>
      </c>
      <c r="G6" s="155">
        <v>3.4070500000000001E-4</v>
      </c>
      <c r="H6" s="156">
        <v>1.4617126</v>
      </c>
      <c r="I6" s="156">
        <v>4.9249999999999998</v>
      </c>
      <c r="J6" s="56"/>
      <c r="K6" s="58"/>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row>
    <row r="7" spans="1:39" ht="16" x14ac:dyDescent="0.2">
      <c r="A7" s="40"/>
      <c r="B7" s="59"/>
      <c r="C7" s="56"/>
      <c r="D7" s="56"/>
      <c r="E7" s="56"/>
      <c r="F7" s="56"/>
      <c r="G7" s="56"/>
      <c r="H7" s="56"/>
      <c r="I7" s="56"/>
      <c r="J7" s="56"/>
      <c r="K7" s="58"/>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row>
    <row r="8" spans="1:39" ht="16" x14ac:dyDescent="0.2">
      <c r="A8" s="40"/>
      <c r="B8" s="59" t="s">
        <v>241</v>
      </c>
      <c r="C8" s="56"/>
      <c r="D8" s="56"/>
      <c r="E8" s="56"/>
      <c r="F8" s="614">
        <f>IF('Front Page &amp; Raw Test Scores'!D26="TOPF",'Front Page &amp; Raw Test Scores'!D28,'STW2 Demographic'!R9)</f>
        <v>60</v>
      </c>
      <c r="G8" s="60"/>
      <c r="H8" s="737"/>
      <c r="I8" s="56"/>
      <c r="J8" s="56"/>
      <c r="K8" s="58"/>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row>
    <row r="9" spans="1:39" ht="16" x14ac:dyDescent="0.2">
      <c r="A9" s="40"/>
      <c r="B9" s="59" t="s">
        <v>242</v>
      </c>
      <c r="C9" s="56"/>
      <c r="D9" s="56"/>
      <c r="E9" s="56"/>
      <c r="F9" s="614">
        <f>'Front Page &amp; Raw Test Scores'!D19</f>
        <v>10</v>
      </c>
      <c r="G9" s="60"/>
      <c r="H9" s="56" t="s">
        <v>252</v>
      </c>
      <c r="I9" s="56"/>
      <c r="J9" s="56"/>
      <c r="K9" s="58"/>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row>
    <row r="10" spans="1:39" ht="16" x14ac:dyDescent="0.2">
      <c r="A10" s="40"/>
      <c r="B10" s="59" t="s">
        <v>243</v>
      </c>
      <c r="C10" s="56"/>
      <c r="D10" s="56"/>
      <c r="E10" s="616" t="str">
        <f>'Front Page &amp; Raw Test Scores'!D17</f>
        <v>Female</v>
      </c>
      <c r="F10" s="57">
        <f>IF(E10="Male",2,1)</f>
        <v>1</v>
      </c>
      <c r="G10" s="57"/>
      <c r="H10" s="56" t="s">
        <v>251</v>
      </c>
      <c r="I10" s="56"/>
      <c r="J10" s="56"/>
      <c r="K10" s="58"/>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row>
    <row r="11" spans="1:39" ht="16" x14ac:dyDescent="0.2">
      <c r="A11" s="40"/>
      <c r="B11" s="59" t="s">
        <v>0</v>
      </c>
      <c r="C11" s="56"/>
      <c r="D11" s="56"/>
      <c r="E11" s="56"/>
      <c r="F11" s="615">
        <f>'Front Page &amp; Raw Test Scores'!D15</f>
        <v>67</v>
      </c>
      <c r="G11" s="56"/>
      <c r="H11" s="56"/>
      <c r="I11" s="56"/>
      <c r="J11" s="56"/>
      <c r="K11" s="58"/>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row>
    <row r="12" spans="1:39" ht="17" thickBot="1" x14ac:dyDescent="0.25">
      <c r="A12" s="40"/>
      <c r="B12" s="59"/>
      <c r="C12" s="56"/>
      <c r="D12" s="56"/>
      <c r="E12" s="56"/>
      <c r="F12" s="56"/>
      <c r="G12" s="56"/>
      <c r="H12" s="56"/>
      <c r="I12" s="56"/>
      <c r="J12" s="56"/>
      <c r="K12" s="58"/>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row>
    <row r="13" spans="1:39" ht="17" thickBot="1" x14ac:dyDescent="0.25">
      <c r="A13" s="40"/>
      <c r="B13" s="134" t="s">
        <v>245</v>
      </c>
      <c r="C13" s="135"/>
      <c r="D13" s="135"/>
      <c r="E13" s="147">
        <f>'Do Not Edit'!O119+('Do Not Edit'!P119*$F$8)+('Do Not Edit'!Q119*($F$8^2))+('Do Not Edit'!R119*($F$8^3))+('Do Not Edit'!S119*$F$9)+('Do Not Edit'!T119*$F$10)</f>
        <v>103.13976599999997</v>
      </c>
      <c r="F13" s="135"/>
      <c r="G13" s="136" t="s">
        <v>255</v>
      </c>
      <c r="H13" s="135"/>
      <c r="I13" s="135"/>
      <c r="J13" s="148">
        <f>'Do Not Edit'!O126+('Do Not Edit'!P126*$F$8)+('Do Not Edit'!Q126*$F$11)</f>
        <v>105.4067</v>
      </c>
      <c r="K13" s="58"/>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row>
    <row r="14" spans="1:39" ht="17" thickBot="1" x14ac:dyDescent="0.25">
      <c r="A14" s="40"/>
      <c r="B14" s="137" t="s">
        <v>247</v>
      </c>
      <c r="C14" s="135"/>
      <c r="D14" s="135"/>
      <c r="E14" s="144">
        <f>'Do Not Edit'!O120+('Do Not Edit'!P120*$F$8)+('Do Not Edit'!Q120*($F$8^2))+('Do Not Edit'!R120*($F$8^3))+('Do Not Edit'!S120*$F$9)+('Do Not Edit'!T120*$F$10)</f>
        <v>103.64353100000001</v>
      </c>
      <c r="F14" s="135"/>
      <c r="G14" s="136" t="s">
        <v>257</v>
      </c>
      <c r="H14" s="135"/>
      <c r="I14" s="135"/>
      <c r="J14" s="149">
        <f>'Do Not Edit'!O127+('Do Not Edit'!P127*$F$8)+('Do Not Edit'!Q127*$F$11)</f>
        <v>105.26920000000001</v>
      </c>
      <c r="K14" s="58"/>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row>
    <row r="15" spans="1:39" ht="17" thickBot="1" x14ac:dyDescent="0.25">
      <c r="A15" s="40"/>
      <c r="B15" s="137" t="s">
        <v>248</v>
      </c>
      <c r="C15" s="135"/>
      <c r="D15" s="135"/>
      <c r="E15" s="143">
        <f>'Do Not Edit'!O121+('Do Not Edit'!P121*$F$8)+('Do Not Edit'!Q121*($F$8^2))+('Do Not Edit'!R121*($F$8^3))+('Do Not Edit'!S121*$F$9)+('Do Not Edit'!T121*$F$10)</f>
        <v>100.8764848</v>
      </c>
      <c r="F15" s="135"/>
      <c r="G15" s="135" t="s">
        <v>256</v>
      </c>
      <c r="H15" s="135"/>
      <c r="I15" s="135"/>
      <c r="J15" s="145">
        <f>'Do Not Edit'!O128+('Do Not Edit'!P128*$F$8)+('Do Not Edit'!Q128*$F$11)</f>
        <v>107.6379</v>
      </c>
      <c r="K15" s="58"/>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row>
    <row r="16" spans="1:39" ht="16" x14ac:dyDescent="0.2">
      <c r="A16" s="40"/>
      <c r="B16" s="137" t="s">
        <v>249</v>
      </c>
      <c r="C16" s="135"/>
      <c r="D16" s="135"/>
      <c r="E16" s="143">
        <f>'Do Not Edit'!O122+('Do Not Edit'!P122*$F$8)+('Do Not Edit'!Q122*($F$8^2))+('Do Not Edit'!R122*($F$8^3))+('Do Not Edit'!S122*$F$9)+('Do Not Edit'!T122*$F$10)</f>
        <v>103.93426599999999</v>
      </c>
      <c r="F16" s="135"/>
      <c r="G16" s="135"/>
      <c r="H16" s="135"/>
      <c r="I16" s="135"/>
      <c r="J16" s="135"/>
      <c r="K16" s="58"/>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row>
    <row r="17" spans="1:39" ht="17" thickBot="1" x14ac:dyDescent="0.25">
      <c r="A17" s="40"/>
      <c r="B17" s="137" t="s">
        <v>250</v>
      </c>
      <c r="C17" s="135"/>
      <c r="D17" s="135"/>
      <c r="E17" s="142">
        <f>'Do Not Edit'!O123+('Do Not Edit'!P123*$F$8)+('Do Not Edit'!Q123*($F$8^2))+('Do Not Edit'!R123*($F$8^3))+('Do Not Edit'!S123*$F$9)+('Do Not Edit'!T123*$F$10)</f>
        <v>101.67490500000004</v>
      </c>
      <c r="F17" s="135"/>
      <c r="G17" s="135"/>
      <c r="H17" s="135"/>
      <c r="I17" s="135"/>
      <c r="J17" s="135"/>
      <c r="K17" s="58"/>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row>
    <row r="18" spans="1:39" ht="17" thickBot="1" x14ac:dyDescent="0.25">
      <c r="A18" s="40"/>
      <c r="B18" s="61"/>
      <c r="C18" s="62"/>
      <c r="D18" s="62"/>
      <c r="E18" s="62"/>
      <c r="F18" s="62"/>
      <c r="G18" s="62"/>
      <c r="H18" s="62"/>
      <c r="I18" s="62"/>
      <c r="J18" s="62"/>
      <c r="K18" s="63"/>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row>
    <row r="19" spans="1:39" x14ac:dyDescent="0.2">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row>
    <row r="20" spans="1:39" ht="16" x14ac:dyDescent="0.2">
      <c r="A20" s="40"/>
      <c r="B20" s="452" t="s">
        <v>477</v>
      </c>
      <c r="C20" s="453"/>
      <c r="D20" s="454"/>
      <c r="E20" s="849" t="str">
        <f>'Front Page &amp; Raw Test Scores'!D9</f>
        <v>Mr Examples</v>
      </c>
      <c r="F20" s="849"/>
      <c r="G20" s="849"/>
      <c r="H20" s="849"/>
      <c r="I20" s="849"/>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row>
    <row r="21" spans="1:39" ht="16" x14ac:dyDescent="0.2">
      <c r="A21" s="40"/>
      <c r="B21" s="453"/>
      <c r="C21" s="453"/>
      <c r="D21" s="454"/>
      <c r="E21" s="455"/>
      <c r="F21" s="455"/>
      <c r="G21" s="455"/>
      <c r="H21" s="455"/>
      <c r="I21" s="455"/>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row>
    <row r="22" spans="1:39" ht="16" x14ac:dyDescent="0.2">
      <c r="A22" s="40"/>
      <c r="B22" s="452" t="s">
        <v>476</v>
      </c>
      <c r="C22" s="453"/>
      <c r="D22" s="454"/>
      <c r="E22" s="850">
        <f>'Front Page &amp; Raw Test Scores'!D13</f>
        <v>44690</v>
      </c>
      <c r="F22" s="851"/>
      <c r="G22" s="454"/>
      <c r="H22" s="454"/>
      <c r="I22" s="454"/>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row>
    <row r="23" spans="1:39" x14ac:dyDescent="0.2">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row>
    <row r="24" spans="1:39" x14ac:dyDescent="0.2">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row>
    <row r="25" spans="1:39" x14ac:dyDescent="0.2">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row>
    <row r="26" spans="1:39" x14ac:dyDescent="0.2">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row>
    <row r="27" spans="1:39" x14ac:dyDescent="0.2">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row>
    <row r="28" spans="1:39" x14ac:dyDescent="0.2">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row>
    <row r="29" spans="1:39" x14ac:dyDescent="0.2">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row>
    <row r="30" spans="1:39" x14ac:dyDescent="0.2">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row>
    <row r="31" spans="1:39" x14ac:dyDescent="0.2">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row>
    <row r="32" spans="1:39" x14ac:dyDescent="0.2">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row>
    <row r="33" spans="1:39" x14ac:dyDescent="0.2">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row>
    <row r="34" spans="1:39" x14ac:dyDescent="0.2">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row>
    <row r="35" spans="1:39" x14ac:dyDescent="0.2">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row>
    <row r="36" spans="1:39" x14ac:dyDescent="0.2">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row>
    <row r="37" spans="1:39" x14ac:dyDescent="0.2">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row>
    <row r="38" spans="1:39" x14ac:dyDescent="0.2">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row>
    <row r="39" spans="1:39" x14ac:dyDescent="0.2">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row>
    <row r="40" spans="1:39" x14ac:dyDescent="0.2">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row>
    <row r="41" spans="1:39" x14ac:dyDescent="0.2">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row>
    <row r="42" spans="1:39" x14ac:dyDescent="0.2">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row>
    <row r="43" spans="1:39" x14ac:dyDescent="0.2">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row>
    <row r="44" spans="1:39" x14ac:dyDescent="0.2">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row>
    <row r="45" spans="1:39" x14ac:dyDescent="0.2">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row>
    <row r="46" spans="1:39" x14ac:dyDescent="0.2">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row>
    <row r="47" spans="1:39" x14ac:dyDescent="0.2">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row>
    <row r="48" spans="1:39" x14ac:dyDescent="0.2">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row>
    <row r="49" spans="1:39" x14ac:dyDescent="0.2">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row>
    <row r="50" spans="1:39" x14ac:dyDescent="0.2">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row>
    <row r="51" spans="1:39" x14ac:dyDescent="0.2">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row>
    <row r="52" spans="1:39" x14ac:dyDescent="0.2">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row>
    <row r="53" spans="1:39" x14ac:dyDescent="0.2">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row>
    <row r="54" spans="1:39" x14ac:dyDescent="0.2">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row>
    <row r="55" spans="1:39" x14ac:dyDescent="0.2">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row>
    <row r="56" spans="1:39" x14ac:dyDescent="0.2">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row>
    <row r="57" spans="1:39" x14ac:dyDescent="0.2">
      <c r="A57" s="40"/>
      <c r="B57" s="40"/>
      <c r="C57" s="40"/>
      <c r="D57" s="40"/>
      <c r="E57" s="40"/>
      <c r="F57" s="40"/>
      <c r="G57" s="40"/>
      <c r="H57" s="40"/>
      <c r="I57" s="40"/>
      <c r="J57" s="40"/>
      <c r="K57" s="40"/>
      <c r="L57" s="40"/>
      <c r="M57" s="40"/>
      <c r="N57" s="40"/>
      <c r="O57" s="40"/>
      <c r="P57" s="40"/>
      <c r="Q57" s="40"/>
      <c r="R57" s="40"/>
      <c r="S57" s="40"/>
      <c r="T57" s="40"/>
      <c r="U57" s="40"/>
      <c r="V57" s="40"/>
      <c r="W57" s="40"/>
      <c r="X57" s="40"/>
      <c r="Y57" s="40"/>
    </row>
    <row r="58" spans="1:39" x14ac:dyDescent="0.2">
      <c r="A58" s="40"/>
      <c r="B58" s="40"/>
      <c r="C58" s="40"/>
      <c r="D58" s="40"/>
      <c r="E58" s="40"/>
      <c r="F58" s="40"/>
      <c r="G58" s="40"/>
      <c r="H58" s="40"/>
      <c r="I58" s="40"/>
      <c r="J58" s="40"/>
      <c r="K58" s="40"/>
      <c r="L58" s="40"/>
      <c r="M58" s="40"/>
      <c r="N58" s="40"/>
      <c r="O58" s="40"/>
      <c r="P58" s="40"/>
      <c r="Q58" s="40"/>
      <c r="R58" s="40"/>
      <c r="S58" s="40"/>
      <c r="T58" s="40"/>
      <c r="U58" s="40"/>
      <c r="V58" s="40"/>
      <c r="W58" s="40"/>
      <c r="X58" s="40"/>
      <c r="Y58" s="40"/>
    </row>
  </sheetData>
  <mergeCells count="2">
    <mergeCell ref="E20:I20"/>
    <mergeCell ref="E22:F22"/>
  </mergeCells>
  <conditionalFormatting sqref="B3">
    <cfRule type="cellIs" dxfId="254" priority="1" operator="equal">
      <formula>"Calculated using substituted DRE/STW2 scores"</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3212F083-92C4-4B8A-8DF2-B0E9E353F967}">
          <x14:formula1>
            <xm:f>'Do Not Edit'!$A$20:$A$21</xm:f>
          </x14:formula1>
          <xm:sqref>E10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0D677-90BB-4107-B60A-0E5685B97F30}">
  <sheetPr>
    <tabColor rgb="FF92D050"/>
  </sheetPr>
  <dimension ref="A1:AJ69"/>
  <sheetViews>
    <sheetView zoomScale="115" zoomScaleNormal="115" workbookViewId="0">
      <selection activeCell="E44" sqref="E44"/>
    </sheetView>
  </sheetViews>
  <sheetFormatPr baseColWidth="10" defaultColWidth="9.1640625" defaultRowHeight="12.75" customHeight="1" x14ac:dyDescent="0.15"/>
  <cols>
    <col min="1" max="1" width="29.6640625" style="14" customWidth="1"/>
    <col min="2" max="2" width="12.33203125" style="295" customWidth="1"/>
    <col min="3" max="3" width="11.83203125" style="14" customWidth="1"/>
    <col min="4" max="4" width="13" style="14" customWidth="1"/>
    <col min="5" max="5" width="15.5" style="14" customWidth="1"/>
    <col min="6" max="6" width="12.33203125" style="14" customWidth="1"/>
    <col min="7" max="7" width="12.5" style="14" customWidth="1"/>
    <col min="8" max="8" width="7.83203125" style="14" customWidth="1"/>
    <col min="9" max="9" width="5.5" style="14" customWidth="1"/>
    <col min="10" max="13" width="9.1640625" style="14"/>
    <col min="14" max="14" width="38" style="14" customWidth="1"/>
    <col min="15" max="15" width="33.6640625" style="14" customWidth="1"/>
    <col min="16" max="16" width="59" style="14" customWidth="1"/>
    <col min="17" max="21" width="9.1640625" style="14"/>
    <col min="22" max="25" width="13.83203125" style="14" customWidth="1"/>
    <col min="26" max="27" width="12.5" style="14" customWidth="1"/>
    <col min="28" max="16384" width="9.1640625" style="14"/>
  </cols>
  <sheetData>
    <row r="1" spans="1:36" ht="15" thickBot="1" x14ac:dyDescent="0.2">
      <c r="A1" s="247" t="s">
        <v>183</v>
      </c>
      <c r="B1" s="99"/>
      <c r="C1" s="94" t="s">
        <v>0</v>
      </c>
      <c r="D1" s="96">
        <f>TOPF!F11</f>
        <v>67</v>
      </c>
      <c r="E1" s="94" t="s">
        <v>58</v>
      </c>
      <c r="F1" s="859" t="str">
        <f>TOPF!E20</f>
        <v>Mr Examples</v>
      </c>
      <c r="G1" s="859"/>
      <c r="H1" s="76"/>
      <c r="I1" s="76"/>
      <c r="J1" s="76"/>
      <c r="K1" s="76"/>
      <c r="L1" s="76"/>
      <c r="M1" s="76"/>
      <c r="N1" s="76"/>
      <c r="O1" s="76"/>
      <c r="P1" s="76"/>
      <c r="Q1" s="76"/>
      <c r="R1" s="76"/>
      <c r="S1" s="76"/>
      <c r="T1" s="76"/>
      <c r="U1" s="76"/>
      <c r="V1" s="76"/>
      <c r="W1" s="76"/>
      <c r="X1" s="76"/>
      <c r="Y1" s="76"/>
      <c r="Z1" s="621"/>
      <c r="AA1" s="621"/>
      <c r="AB1" s="621"/>
      <c r="AC1" s="621"/>
      <c r="AD1" s="621"/>
      <c r="AE1" s="621"/>
      <c r="AF1" s="621"/>
      <c r="AG1" s="621"/>
      <c r="AH1" s="621"/>
      <c r="AI1" s="621"/>
      <c r="AJ1" s="621"/>
    </row>
    <row r="2" spans="1:36" ht="15" thickBot="1" x14ac:dyDescent="0.2">
      <c r="A2" s="450" t="s">
        <v>387</v>
      </c>
      <c r="B2" s="248"/>
      <c r="C2" s="249" t="s">
        <v>181</v>
      </c>
      <c r="D2" s="96">
        <f>TOPF!F9</f>
        <v>10</v>
      </c>
      <c r="E2" s="76" t="s">
        <v>182</v>
      </c>
      <c r="F2" s="250" t="str">
        <f>IF(TOPF!F10=2,"Male","Female")</f>
        <v>Female</v>
      </c>
      <c r="G2" s="99"/>
      <c r="H2" s="99"/>
      <c r="I2" s="99"/>
      <c r="J2" s="76"/>
      <c r="K2" s="76"/>
      <c r="L2" s="76"/>
      <c r="M2" s="76"/>
      <c r="N2" s="76"/>
      <c r="O2" s="76"/>
      <c r="P2" s="76"/>
      <c r="Q2" s="76"/>
      <c r="R2" s="76"/>
      <c r="S2" s="76"/>
      <c r="T2" s="76"/>
      <c r="U2" s="76"/>
      <c r="V2" s="76"/>
      <c r="W2" s="76"/>
      <c r="X2" s="76"/>
      <c r="Y2" s="76"/>
      <c r="Z2" s="621"/>
      <c r="AA2" s="621"/>
      <c r="AB2" s="621"/>
      <c r="AC2" s="621"/>
      <c r="AD2" s="621"/>
      <c r="AE2" s="621"/>
      <c r="AF2" s="621"/>
      <c r="AG2" s="621"/>
      <c r="AH2" s="621"/>
      <c r="AI2" s="621"/>
      <c r="AJ2" s="621"/>
    </row>
    <row r="3" spans="1:36" ht="15" x14ac:dyDescent="0.2">
      <c r="A3" s="448" t="s">
        <v>473</v>
      </c>
      <c r="B3" s="348" t="s">
        <v>352</v>
      </c>
      <c r="C3" s="193" t="s">
        <v>184</v>
      </c>
      <c r="D3" s="488">
        <f>TOPF!E22</f>
        <v>44690</v>
      </c>
      <c r="E3" s="76"/>
      <c r="F3" s="39"/>
      <c r="G3" s="39"/>
      <c r="H3" s="99"/>
      <c r="I3" s="99"/>
      <c r="J3" s="76"/>
      <c r="K3" s="76"/>
      <c r="L3" s="76"/>
      <c r="M3" s="76"/>
      <c r="N3" s="76"/>
      <c r="O3" s="76"/>
      <c r="P3" s="76"/>
      <c r="Q3" s="76"/>
      <c r="R3" s="76"/>
      <c r="S3" s="76"/>
      <c r="T3" s="76"/>
      <c r="U3" s="76"/>
      <c r="V3" s="76"/>
      <c r="W3" s="76"/>
      <c r="X3" s="76"/>
      <c r="Y3" s="76"/>
      <c r="Z3" s="621"/>
      <c r="AA3" s="621"/>
      <c r="AB3" s="621"/>
      <c r="AC3" s="621"/>
      <c r="AD3" s="621"/>
      <c r="AE3" s="621"/>
      <c r="AF3" s="621"/>
      <c r="AG3" s="621"/>
      <c r="AH3" s="621"/>
      <c r="AI3" s="621"/>
      <c r="AJ3" s="621"/>
    </row>
    <row r="4" spans="1:36" ht="14" x14ac:dyDescent="0.15">
      <c r="A4" s="76"/>
      <c r="B4" s="99"/>
      <c r="C4" s="76"/>
      <c r="D4" s="76"/>
      <c r="E4" s="251"/>
      <c r="F4" s="76"/>
      <c r="G4" s="76"/>
      <c r="H4" s="99"/>
      <c r="I4" s="99"/>
      <c r="J4" s="76"/>
      <c r="K4" s="76"/>
      <c r="L4" s="76"/>
      <c r="M4" s="76"/>
      <c r="N4" s="76"/>
      <c r="O4" s="76"/>
      <c r="P4" s="76"/>
      <c r="Q4" s="76"/>
      <c r="R4" s="76"/>
      <c r="S4" s="76"/>
      <c r="T4" s="76"/>
      <c r="U4" s="76"/>
      <c r="V4" s="76"/>
      <c r="W4" s="76"/>
      <c r="X4" s="76"/>
      <c r="Y4" s="76"/>
      <c r="Z4" s="621"/>
      <c r="AA4" s="621"/>
      <c r="AB4" s="621"/>
      <c r="AC4" s="621"/>
      <c r="AD4" s="621"/>
      <c r="AE4" s="621"/>
      <c r="AF4" s="621"/>
      <c r="AG4" s="621"/>
      <c r="AH4" s="621"/>
      <c r="AI4" s="621"/>
      <c r="AJ4" s="621"/>
    </row>
    <row r="5" spans="1:36" ht="31.75" customHeight="1" x14ac:dyDescent="0.15">
      <c r="A5" s="252" t="str">
        <f>IF('Front Page &amp; Raw Test Scores'!D26="TOPF","TOPF",IF('Front Page &amp; Raw Test Scores'!D26="STW2","STW2 FSIQ &amp; TOPF Memory","DRE FSIQ &amp; TOPF Memory"))</f>
        <v>TOPF</v>
      </c>
      <c r="B5" s="253" t="s">
        <v>178</v>
      </c>
      <c r="C5" s="254" t="s">
        <v>3</v>
      </c>
      <c r="D5" s="254" t="s">
        <v>41</v>
      </c>
      <c r="E5" s="254" t="s">
        <v>4</v>
      </c>
      <c r="F5" s="255" t="s">
        <v>64</v>
      </c>
      <c r="G5" s="449"/>
      <c r="H5" s="621"/>
      <c r="I5" s="621"/>
      <c r="J5" s="852" t="s">
        <v>487</v>
      </c>
      <c r="K5" s="853"/>
      <c r="L5" s="622">
        <f>IF(B3="±90% CI",1.645,1.96)</f>
        <v>1.645</v>
      </c>
      <c r="M5" s="621"/>
      <c r="N5" s="621"/>
      <c r="O5" s="621"/>
      <c r="P5" s="621"/>
      <c r="Q5" s="621"/>
      <c r="R5" s="621"/>
      <c r="S5" s="621"/>
      <c r="T5" s="621"/>
      <c r="U5" s="76"/>
      <c r="V5" s="76"/>
      <c r="W5" s="76"/>
      <c r="X5" s="76"/>
      <c r="Y5" s="76"/>
      <c r="Z5" s="621"/>
      <c r="AA5" s="621"/>
      <c r="AB5" s="621"/>
      <c r="AC5" s="621"/>
      <c r="AD5" s="621"/>
      <c r="AE5" s="621"/>
      <c r="AF5" s="621"/>
      <c r="AG5" s="621"/>
      <c r="AH5" s="621"/>
      <c r="AI5" s="621"/>
      <c r="AJ5" s="621"/>
    </row>
    <row r="6" spans="1:36" ht="15" x14ac:dyDescent="0.15">
      <c r="A6" s="257" t="s">
        <v>5</v>
      </c>
      <c r="B6" s="451">
        <f>TOPF!E13</f>
        <v>103.13976599999997</v>
      </c>
      <c r="C6" s="23" t="str">
        <f>IF(B6&lt;58,"1",(IF(AND(B6&gt;=58,B6&lt;63),"2",(IF(AND(B6&gt;=63,B6&lt;68),"3",(IF(AND(B6&gt;=68,B6&lt;73),"4",(IF(AND(B6&gt;=73,B6&lt;78),"5",(IF(AND(B6&gt;=78,B6&lt;83),"6",(IF(AND(B6&gt;=83,B6&lt;88),"7",(IF(AND(B6&gt;=88,B6&lt;93),"8",(IF(AND(B6&gt;=93,B6&lt;98),"9",(IF(AND(B6&gt;=98,B6&lt;103),"10",(IF(AND(B6&gt;=103,B6&lt;108),"11",(IF(AND(B6&gt;=108,B6&lt;113),"12",(IF(AND(B6&gt;=113,B6&lt;118),"13",(IF(AND(B6&gt;=118,B6&lt;123),"14",(IF(AND(B6&gt;=123,B6&lt;128),"15",(IF(AND(B6&gt;=128,B6&lt;133),"16",(IF(AND(B6&gt;=133,B6&lt;138),"17",(IF(AND(B6&gt;=138,B6&lt;143),"18","19")))))))))))))))))))))))))))))))))))</f>
        <v>11</v>
      </c>
      <c r="D6" s="258">
        <f>_xlfn.NORM.S.DIST(F6,TRUE)</f>
        <v>0.58289989540363751</v>
      </c>
      <c r="E6" s="3" t="str">
        <f>IF(B6&lt;70,"Extremely Low", (IF(AND(B6&gt;=70,B6&lt;80),"Borderline",(IF(AND(B6&gt;=80,B6&lt;90),"Low Average",(IF(AND(B6&gt;=90,B6&lt;110),"Average",(IF(AND(B6&gt;=110,B6&lt;120),"High Average",(IF(AND(B6&gt;=120,B6&lt;130),"Superior","Very Superior")))))))))))</f>
        <v>Average</v>
      </c>
      <c r="F6" s="4">
        <f>(B6-100)/15</f>
        <v>0.20931773333333106</v>
      </c>
      <c r="G6" s="301"/>
      <c r="H6" s="623"/>
      <c r="I6" s="624"/>
      <c r="J6" s="621"/>
      <c r="K6" s="621"/>
      <c r="L6" s="621"/>
      <c r="M6" s="621"/>
      <c r="N6" s="621"/>
      <c r="O6" s="621"/>
      <c r="P6" s="621"/>
      <c r="Q6" s="621"/>
      <c r="R6" s="621"/>
      <c r="S6" s="621"/>
      <c r="T6" s="621"/>
      <c r="U6" s="76"/>
      <c r="V6" s="76"/>
      <c r="W6" s="76"/>
      <c r="X6" s="76"/>
      <c r="Y6" s="76"/>
      <c r="Z6" s="621"/>
      <c r="AA6" s="621"/>
      <c r="AB6" s="621"/>
      <c r="AC6" s="621"/>
      <c r="AD6" s="621"/>
      <c r="AE6" s="621"/>
      <c r="AF6" s="621"/>
      <c r="AG6" s="621"/>
      <c r="AH6" s="621"/>
      <c r="AI6" s="621"/>
      <c r="AJ6" s="621"/>
    </row>
    <row r="7" spans="1:36" ht="15" x14ac:dyDescent="0.15">
      <c r="A7" s="257" t="s">
        <v>6</v>
      </c>
      <c r="B7" s="451">
        <f>TOPF!J13</f>
        <v>105.4067</v>
      </c>
      <c r="C7" s="23" t="str">
        <f>IF(B7&lt;58,"1",(IF(AND(B7&gt;=58,B7&lt;63),"2",(IF(AND(B7&gt;=63,B7&lt;68),"3",(IF(AND(B7&gt;=68,B7&lt;73),"4",(IF(AND(B7&gt;=73,B7&lt;78),"5",(IF(AND(B7&gt;=78,B7&lt;83),"6",(IF(AND(B7&gt;=83,B7&lt;88),"7",(IF(AND(B7&gt;=88,B7&lt;93),"8",(IF(AND(B7&gt;=93,B7&lt;98),"9",(IF(AND(B7&gt;=98,B7&lt;103),"10",(IF(AND(B7&gt;=103,B7&lt;108),"11",(IF(AND(B7&gt;=108,B7&lt;113),"12",(IF(AND(B7&gt;=113,B7&lt;118),"13",(IF(AND(B7&gt;=118,B7&lt;123),"14",(IF(AND(B7&gt;=123,B7&lt;128),"15",(IF(AND(B7&gt;=128,B7&lt;133),"16",(IF(AND(B7&gt;=133,B7&lt;138),"17",(IF(AND(B7&gt;=138,B7&lt;143),"18","19")))))))))))))))))))))))))))))))))))</f>
        <v>11</v>
      </c>
      <c r="D7" s="258">
        <f>_xlfn.NORM.S.DIST(F7,TRUE)</f>
        <v>0.64074343318901383</v>
      </c>
      <c r="E7" s="3" t="str">
        <f>IF(B7&lt;70,"Extremely Low", (IF(AND(B7&gt;=70,B7&lt;80),"Borderline",(IF(AND(B7&gt;=80,B7&lt;90),"Low Average",(IF(AND(B7&gt;=90,B7&lt;110),"Average",(IF(AND(B7&gt;=110,B7&lt;120),"High Average",(IF(AND(B7&gt;=120,B7&lt;130),"Superior","Very Superior")))))))))))</f>
        <v>Average</v>
      </c>
      <c r="F7" s="4">
        <f>(B7-100)/15</f>
        <v>0.36044666666666669</v>
      </c>
      <c r="G7" s="301"/>
      <c r="H7" s="623"/>
      <c r="I7" s="624"/>
      <c r="J7" s="621"/>
      <c r="K7" s="621"/>
      <c r="L7" s="621"/>
      <c r="M7" s="621"/>
      <c r="N7" s="621"/>
      <c r="O7" s="621"/>
      <c r="P7" s="621"/>
      <c r="Q7" s="621"/>
      <c r="R7" s="621"/>
      <c r="S7" s="621"/>
      <c r="T7" s="621"/>
      <c r="U7" s="76"/>
      <c r="V7" s="76"/>
      <c r="W7" s="76"/>
      <c r="X7" s="76"/>
      <c r="Y7" s="76"/>
      <c r="Z7" s="621"/>
      <c r="AA7" s="621"/>
      <c r="AB7" s="621"/>
      <c r="AC7" s="621"/>
      <c r="AD7" s="621"/>
      <c r="AE7" s="621"/>
      <c r="AF7" s="621"/>
      <c r="AG7" s="621"/>
      <c r="AH7" s="621"/>
      <c r="AI7" s="621"/>
      <c r="AJ7" s="621"/>
    </row>
    <row r="8" spans="1:36" ht="14" x14ac:dyDescent="0.15">
      <c r="A8" s="94" t="s">
        <v>7</v>
      </c>
      <c r="B8" s="451">
        <f>TOPF!J14</f>
        <v>105.26920000000001</v>
      </c>
      <c r="C8" s="23" t="str">
        <f>IF(B8&lt;58,"1",(IF(AND(B8&gt;=58,B8&lt;63),"2",(IF(AND(B8&gt;=63,B8&lt;68),"3",(IF(AND(B8&gt;=68,B8&lt;73),"4",(IF(AND(B8&gt;=73,B8&lt;78),"5",(IF(AND(B8&gt;=78,B8&lt;83),"6",(IF(AND(B8&gt;=83,B8&lt;88),"7",(IF(AND(B8&gt;=88,B8&lt;93),"8",(IF(AND(B8&gt;=93,B8&lt;98),"9",(IF(AND(B8&gt;=98,B8&lt;103),"10",(IF(AND(B8&gt;=103,B8&lt;108),"11",(IF(AND(B8&gt;=108,B8&lt;113),"12",(IF(AND(B8&gt;=113,B8&lt;118),"13",(IF(AND(B8&gt;=118,B8&lt;123),"14",(IF(AND(B8&gt;=123,B8&lt;128),"15",(IF(AND(B8&gt;=128,B8&lt;133),"16",(IF(AND(B8&gt;=133,B8&lt;138),"17",(IF(AND(B8&gt;=138,B8&lt;143),"18","19")))))))))))))))))))))))))))))))))))</f>
        <v>11</v>
      </c>
      <c r="D8" s="258">
        <f>_xlfn.NORM.S.DIST(F8,TRUE)</f>
        <v>0.63731085111571373</v>
      </c>
      <c r="E8" s="3" t="str">
        <f>IF(B8&lt;70,"Extremely Low", (IF(AND(B8&gt;=70,B8&lt;80),"Borderline",(IF(AND(B8&gt;=80,B8&lt;90),"Low Average",(IF(AND(B8&gt;=90,B8&lt;110),"Average",(IF(AND(B8&gt;=110,B8&lt;120),"High Average",(IF(AND(B8&gt;=120,B8&lt;130),"Superior","Very Superior")))))))))))</f>
        <v>Average</v>
      </c>
      <c r="F8" s="4">
        <f>(B8-100)/15</f>
        <v>0.35128000000000081</v>
      </c>
      <c r="G8" s="301"/>
      <c r="H8" s="623"/>
      <c r="I8" s="624"/>
      <c r="J8" s="621"/>
      <c r="K8" s="621"/>
      <c r="L8" s="621"/>
      <c r="M8" s="621"/>
      <c r="N8" s="621"/>
      <c r="O8" s="621"/>
      <c r="P8" s="621"/>
      <c r="Q8" s="621"/>
      <c r="R8" s="621"/>
      <c r="S8" s="621"/>
      <c r="T8" s="621"/>
      <c r="U8" s="76"/>
      <c r="V8" s="76"/>
      <c r="W8" s="76"/>
      <c r="X8" s="76"/>
      <c r="Y8" s="76"/>
      <c r="Z8" s="621"/>
      <c r="AA8" s="621"/>
      <c r="AB8" s="621"/>
      <c r="AC8" s="621"/>
      <c r="AD8" s="621"/>
      <c r="AE8" s="621"/>
      <c r="AF8" s="621"/>
      <c r="AG8" s="621"/>
      <c r="AH8" s="621"/>
      <c r="AI8" s="621"/>
      <c r="AJ8" s="621"/>
    </row>
    <row r="9" spans="1:36" ht="30" x14ac:dyDescent="0.15">
      <c r="A9" s="259" t="s">
        <v>8</v>
      </c>
      <c r="B9" s="260" t="s">
        <v>179</v>
      </c>
      <c r="C9" s="261" t="s">
        <v>3</v>
      </c>
      <c r="D9" s="261" t="s">
        <v>41</v>
      </c>
      <c r="E9" s="261" t="s">
        <v>4</v>
      </c>
      <c r="F9" s="262" t="s">
        <v>10</v>
      </c>
      <c r="G9" s="262" t="s">
        <v>474</v>
      </c>
      <c r="H9" s="625" t="s">
        <v>57</v>
      </c>
      <c r="I9" s="622" t="s">
        <v>488</v>
      </c>
      <c r="J9" s="622" t="str">
        <f>B3</f>
        <v>±90% CI</v>
      </c>
      <c r="K9" s="622" t="s">
        <v>489</v>
      </c>
      <c r="L9" s="622" t="s">
        <v>490</v>
      </c>
      <c r="M9" s="621"/>
      <c r="N9" s="626" t="s">
        <v>638</v>
      </c>
      <c r="O9" s="621"/>
      <c r="P9" s="621"/>
      <c r="Q9" s="621"/>
      <c r="R9" s="626" t="s">
        <v>639</v>
      </c>
      <c r="S9" s="621"/>
      <c r="T9" s="621"/>
      <c r="U9" s="621"/>
      <c r="V9" s="621" t="s">
        <v>640</v>
      </c>
      <c r="W9" s="621"/>
      <c r="X9" s="621"/>
      <c r="Y9" s="621"/>
      <c r="Z9" s="621" t="s">
        <v>641</v>
      </c>
      <c r="AA9" s="621"/>
      <c r="AB9" s="621"/>
      <c r="AC9" s="621"/>
      <c r="AD9" s="621"/>
      <c r="AE9" s="621"/>
      <c r="AF9" s="621"/>
      <c r="AG9" s="621"/>
      <c r="AH9" s="621"/>
      <c r="AI9" s="621"/>
      <c r="AJ9" s="621"/>
    </row>
    <row r="10" spans="1:36" ht="15" x14ac:dyDescent="0.15">
      <c r="A10" s="263" t="s">
        <v>11</v>
      </c>
      <c r="B10" s="288">
        <f>'Front Page &amp; Raw Test Scores'!D35</f>
        <v>30</v>
      </c>
      <c r="C10" s="268">
        <f>'DNE2'!B114</f>
        <v>12</v>
      </c>
      <c r="D10" s="620">
        <f>_xlfn.NORM.S.DIST(H10,TRUE)</f>
        <v>0.74750746245307709</v>
      </c>
      <c r="E10" s="3" t="str">
        <f>IF(C10&lt;4,"Extremely Low", (IF(AND(C10&gt;=4,C10&lt;6),"Borderline",(IF(AND(C10&gt;=6,C10&lt;8),"Low Average",(IF(AND(C10&gt;=8,C10&lt;12),"Average",(IF(AND(C10&gt;=12,C10&lt;14),"High Average",(IF(AND(C10&gt;=14,C10&lt;16),"Superior","Very Superior")))))))))))</f>
        <v>High Average</v>
      </c>
      <c r="F10" s="22">
        <f>C10-$C$7</f>
        <v>1</v>
      </c>
      <c r="G10" s="4">
        <f>H10-F7</f>
        <v>0.30621999999999994</v>
      </c>
      <c r="H10" s="627">
        <f>(1/3)*(C10-10)+0</f>
        <v>0.66666666666666663</v>
      </c>
      <c r="I10" s="628">
        <f>(VLOOKUP($D$1,'Do Not Edit'!$BJ$5:$BR$54,2))</f>
        <v>1.34</v>
      </c>
      <c r="J10" s="628">
        <f>I10*$L$5</f>
        <v>2.2043000000000004</v>
      </c>
      <c r="K10" s="628">
        <f>C10-ROUNDUP(J10,0)</f>
        <v>9</v>
      </c>
      <c r="L10" s="628">
        <f>C10+ROUNDUP(J10,0)</f>
        <v>15</v>
      </c>
      <c r="M10" s="621"/>
      <c r="N10" s="628" t="str">
        <f>IF(G10&lt;=-2,"markedly below expected",(IF(AND(G10&gt;=-2,G10&lt;=-1.5),"below expected",(IF(AND(G10&gt;-1.5,G10&lt;-1),"borderline lower than expected",(IF(AND(G10&gt;=-1,G10&lt;=1),"as expected","above expected")))))))</f>
        <v>as expected</v>
      </c>
      <c r="O10" s="621"/>
      <c r="P10" s="621"/>
      <c r="Q10" s="621"/>
      <c r="R10" s="629">
        <f>IF(D10&lt;0.01,"&lt;1st",ROUND(100*D10,0))</f>
        <v>75</v>
      </c>
      <c r="S10" s="629" t="str" cm="1">
        <f t="array" ref="S10">IF(R10="&lt;1st","&lt;1st",(R10&amp;""&amp;CHOOSE(AND(MOD(R10,100)&lt;&gt;{11,12,13})*MIN(4,MOD(R10,10))+1,"th","st","nd","rd","th")))</f>
        <v>75th</v>
      </c>
      <c r="T10" s="621"/>
      <c r="U10" s="621"/>
      <c r="V10" s="621" cm="1">
        <f t="array" aca="1" ref="V10" ca="1">IF(SUM(LEN(D13)-LEN(SUBSTITUTE(D13, {"0","1","2","3","4","5","6","7","8","9"}, "")))&gt;0, SUMPRODUCT(MID(0&amp;D13, LARGE(INDEX(ISNUMBER(--MID(D13,ROW(INDIRECT("$1:$"&amp;LEN(D13))),1))* ROW(INDIRECT("$1:$"&amp;LEN(D13))),0), ROW(INDIRECT("$1:$"&amp;LEN(D13))))+1,1) * 10^ROW(INDIRECT("$1:$"&amp;LEN(D13)))/10),"")</f>
        <v>2</v>
      </c>
      <c r="W10" s="621"/>
      <c r="X10" s="621"/>
      <c r="Y10" s="621"/>
      <c r="Z10" s="626" t="s">
        <v>642</v>
      </c>
      <c r="AA10" s="638">
        <v>9.9999999999999995E-7</v>
      </c>
      <c r="AB10" s="639">
        <v>0.02</v>
      </c>
      <c r="AC10" s="621"/>
      <c r="AD10" s="621"/>
      <c r="AE10" s="621"/>
      <c r="AF10" s="621"/>
      <c r="AG10" s="621"/>
      <c r="AH10" s="621"/>
      <c r="AI10" s="621"/>
      <c r="AJ10" s="621"/>
    </row>
    <row r="11" spans="1:36" ht="15" x14ac:dyDescent="0.15">
      <c r="A11" s="263" t="s">
        <v>12</v>
      </c>
      <c r="B11" s="288">
        <f>'Front Page &amp; Raw Test Scores'!D36</f>
        <v>17</v>
      </c>
      <c r="C11" s="268">
        <f>'DNE2'!I114</f>
        <v>9</v>
      </c>
      <c r="D11" s="266">
        <f>_xlfn.NORM.S.DIST(H11,TRUE)</f>
        <v>0.36944134018176361</v>
      </c>
      <c r="E11" s="3" t="str">
        <f>IF(C11&lt;4,"Extremely Low", (IF(AND(C11&gt;=4,C11&lt;6),"Borderline",(IF(AND(C11&gt;=6,C11&lt;8),"Low Average",(IF(AND(C11&gt;=8,C11&lt;12),"Average",(IF(AND(C11&gt;=12,C11&lt;14),"High Average",(IF(AND(C11&gt;=14,C11&lt;16),"Superior","Very Superior")))))))))))</f>
        <v>Average</v>
      </c>
      <c r="F11" s="22">
        <f>C11-$C$7</f>
        <v>-2</v>
      </c>
      <c r="G11" s="4">
        <f>H11-F7</f>
        <v>-0.69378000000000006</v>
      </c>
      <c r="H11" s="627">
        <f>(1/3)*(C11-10)+0</f>
        <v>-0.33333333333333331</v>
      </c>
      <c r="I11" s="628">
        <f>(VLOOKUP($D$1,'Do Not Edit'!$BJ$5:$BR$54,3))</f>
        <v>1.37</v>
      </c>
      <c r="J11" s="628">
        <f>I11*$L$5</f>
        <v>2.2536500000000004</v>
      </c>
      <c r="K11" s="628">
        <f>C11-ROUNDUP(J11,0)</f>
        <v>6</v>
      </c>
      <c r="L11" s="628">
        <f>C11+ROUNDUP(J11,0)</f>
        <v>12</v>
      </c>
      <c r="M11" s="621"/>
      <c r="N11" s="628" t="str">
        <f>IF(G11&lt;=-2,"markedly below expected",(IF(AND(G11&gt;=-2,G11&lt;=-1.5),"below expected",(IF(AND(G11&gt;-1.5,G11&lt;-1),"borderline lower than expected",(IF(AND(G11&gt;=-1,G11&lt;=1),"as expected","above expected")))))))</f>
        <v>as expected</v>
      </c>
      <c r="O11" s="621"/>
      <c r="P11" s="621"/>
      <c r="Q11" s="621"/>
      <c r="R11" s="629">
        <f>IF(D11&lt;0.01,"&lt;1st",ROUND(100*D11,0))</f>
        <v>37</v>
      </c>
      <c r="S11" s="629" t="str" cm="1">
        <f t="array" ref="S11">IF(R11="&lt;1st","&lt;1st",(R11&amp;""&amp;CHOOSE(AND(MOD(R11,100)&lt;&gt;{11,12,13})*MIN(4,MOD(R11,10))+1,"th","st","nd","rd","th")))</f>
        <v>37th</v>
      </c>
      <c r="T11" s="621"/>
      <c r="U11" s="621"/>
      <c r="V11" s="621"/>
      <c r="W11" s="621"/>
      <c r="X11" s="621" t="s">
        <v>647</v>
      </c>
      <c r="Y11" s="621"/>
      <c r="Z11" s="626" t="s">
        <v>643</v>
      </c>
      <c r="AA11" s="638">
        <v>0.03</v>
      </c>
      <c r="AB11" s="639">
        <v>0.09</v>
      </c>
      <c r="AC11" s="621"/>
      <c r="AD11" s="621"/>
      <c r="AE11" s="621"/>
      <c r="AF11" s="621"/>
      <c r="AG11" s="621"/>
      <c r="AH11" s="621"/>
      <c r="AI11" s="621"/>
      <c r="AJ11" s="621"/>
    </row>
    <row r="12" spans="1:36" ht="15" x14ac:dyDescent="0.15">
      <c r="A12" s="263" t="s">
        <v>13</v>
      </c>
      <c r="B12" s="288">
        <f>'Front Page &amp; Raw Test Scores'!D37</f>
        <v>0</v>
      </c>
      <c r="C12" s="268">
        <f>'DNE2'!P114</f>
        <v>1</v>
      </c>
      <c r="D12" s="266">
        <f>_xlfn.NORM.S.DIST(H12,TRUE)</f>
        <v>1.3498980316300933E-3</v>
      </c>
      <c r="E12" s="3" t="str">
        <f>IF(C12&lt;4,"Extremely Low", (IF(AND(C12&gt;=4,C12&lt;6),"Borderline",(IF(AND(C12&gt;=6,C12&lt;8),"Low Average",(IF(AND(C12&gt;=8,C12&lt;12),"Average",(IF(AND(C12&gt;=12,C12&lt;14),"High Average",(IF(AND(C12&gt;=14,C12&lt;16),"Superior","Very Superior")))))))))))</f>
        <v>Extremely Low</v>
      </c>
      <c r="F12" s="22">
        <f t="shared" ref="F12" si="0">C12-$C$6</f>
        <v>-10</v>
      </c>
      <c r="G12" s="4">
        <f>H12-$F$6</f>
        <v>-3.2093177333333309</v>
      </c>
      <c r="H12" s="627">
        <f>(1/3)*(C12-10)+0</f>
        <v>-3</v>
      </c>
      <c r="I12" s="628">
        <f>(VLOOKUP($D$1,'Do Not Edit'!$BJ$5:$BR$54,4))</f>
        <v>2.0299999999999998</v>
      </c>
      <c r="J12" s="628">
        <f>I12*$L$5</f>
        <v>3.3393499999999996</v>
      </c>
      <c r="K12" s="628">
        <f>C12-ROUNDUP(J12,0)</f>
        <v>-3</v>
      </c>
      <c r="L12" s="628">
        <f>C12+ROUNDUP(J12,0)</f>
        <v>5</v>
      </c>
      <c r="M12" s="621"/>
      <c r="N12" s="628" t="str">
        <f>IF(G12&lt;=-2,"markedly below expected",(IF(AND(G12&gt;=-2,G12&lt;=-1.5),"below expected",(IF(AND(G12&gt;-1.5,G12&lt;-1),"borderline lower than expected",(IF(AND(G12&gt;=-1,G12&lt;=1),"as expected","above expected")))))))</f>
        <v>markedly below expected</v>
      </c>
      <c r="O12" s="621"/>
      <c r="P12" s="621"/>
      <c r="Q12" s="621"/>
      <c r="R12" s="629" t="str">
        <f>IF(D12&lt;0.01,"&lt;1st",ROUND(100*D12,0))</f>
        <v>&lt;1st</v>
      </c>
      <c r="S12" s="629" t="str" cm="1">
        <f t="array" ref="S12">IF(R12="&lt;1st","&lt;1st",(R12&amp;""&amp;CHOOSE(AND(MOD(R12,100)&lt;&gt;{11,12,13})*MIN(4,MOD(R12,10))+1,"th","st","nd","rd","th")))</f>
        <v>&lt;1st</v>
      </c>
      <c r="T12" s="621"/>
      <c r="U12" s="621"/>
      <c r="V12" s="629" t="s">
        <v>431</v>
      </c>
      <c r="W12" s="629" t="s">
        <v>430</v>
      </c>
      <c r="X12" s="621" t="s">
        <v>645</v>
      </c>
      <c r="Y12" s="621" t="s">
        <v>646</v>
      </c>
      <c r="Z12" s="626" t="s">
        <v>644</v>
      </c>
      <c r="AA12" s="638">
        <v>0.1</v>
      </c>
      <c r="AB12" s="639">
        <v>0.16</v>
      </c>
      <c r="AC12" s="621"/>
      <c r="AD12" s="621"/>
      <c r="AE12" s="621"/>
      <c r="AF12" s="621"/>
      <c r="AG12" s="621"/>
      <c r="AH12" s="621"/>
      <c r="AI12" s="621"/>
      <c r="AJ12" s="621"/>
    </row>
    <row r="13" spans="1:36" ht="17" x14ac:dyDescent="0.2">
      <c r="A13" s="263" t="s">
        <v>14</v>
      </c>
      <c r="B13" s="288">
        <f>'Front Page &amp; Raw Test Scores'!D38</f>
        <v>0</v>
      </c>
      <c r="C13" s="76"/>
      <c r="D13" s="268" t="str">
        <f>'DNE2'!BF114</f>
        <v>≤2nd%</v>
      </c>
      <c r="E13" s="347" t="str">
        <f>VLOOKUP(D13,'Do Not Edit'!$A$178:$B$184,2,FALSE)</f>
        <v>Extremely Low</v>
      </c>
      <c r="F13" s="269" t="s">
        <v>43</v>
      </c>
      <c r="G13" s="4" t="s">
        <v>43</v>
      </c>
      <c r="H13" s="627"/>
      <c r="I13" s="630"/>
      <c r="J13" s="631"/>
      <c r="K13" s="631"/>
      <c r="L13" s="632"/>
      <c r="M13" s="621"/>
      <c r="N13" s="640" t="str">
        <f>IF(X13&lt;=-2,"markedly below expected",(IF(AND(X13&gt;=-2,X13&lt;=-1.5),"below expected",(IF(AND(X13&gt;-1.5,X13&lt;-1),"borderline lower than expected",(IF(AND(X13&gt;=-1,X13&lt;=1),"as expected","above expected")))))))</f>
        <v>markedly below expected</v>
      </c>
      <c r="O13" s="640" t="str">
        <f>IF(Y13&lt;=-2,"markedly below expected",(IF(AND(Y13&gt;=-2,Y13&lt;=-1.5),"below expected",(IF(AND(Y13&gt;-1.5,Y13&lt;-1),"borderline lower than expected",(IF(AND(Y13&gt;=-1,Y13&lt;=1),"as expected","above expected")))))))</f>
        <v>markedly below expected</v>
      </c>
      <c r="P13" s="628" t="str">
        <f>IF(O13=N13,N13,"between "&amp;N13&amp;" and "&amp;O13)</f>
        <v>markedly below expected</v>
      </c>
      <c r="Q13" s="621"/>
      <c r="R13" s="621"/>
      <c r="S13" s="621"/>
      <c r="T13" s="621"/>
      <c r="U13" s="621" t="str">
        <f>D13</f>
        <v>≤2nd%</v>
      </c>
      <c r="V13" s="629">
        <f>VLOOKUP(U13,$Z$10:$AA$16,2,FALSE)</f>
        <v>9.9999999999999995E-7</v>
      </c>
      <c r="W13" s="629">
        <f>VLOOKUP(U13,$Z$10:$AB$16,3,FALSE)</f>
        <v>0.02</v>
      </c>
      <c r="X13" s="642">
        <f>_xlfn.NORM.S.INV(V13)-F6</f>
        <v>-4.96274204215623</v>
      </c>
      <c r="Y13" s="642">
        <f>_xlfn.NORM.S.INV(W13)-F6</f>
        <v>-2.2630666439651534</v>
      </c>
      <c r="Z13" s="626" t="s">
        <v>648</v>
      </c>
      <c r="AA13" s="638">
        <v>0.17</v>
      </c>
      <c r="AB13" s="639">
        <v>0.25</v>
      </c>
      <c r="AC13" s="621"/>
      <c r="AD13" s="621"/>
      <c r="AE13" s="621"/>
      <c r="AF13" s="621"/>
      <c r="AG13" s="621"/>
      <c r="AH13" s="621"/>
      <c r="AI13" s="621"/>
      <c r="AJ13" s="621"/>
    </row>
    <row r="14" spans="1:36" ht="17" x14ac:dyDescent="0.2">
      <c r="A14" s="263" t="s">
        <v>16</v>
      </c>
      <c r="B14" s="288">
        <f>'Front Page &amp; Raw Test Scores'!D39</f>
        <v>0</v>
      </c>
      <c r="C14" s="76"/>
      <c r="D14" s="268" t="str">
        <f>'DNE2'!BM114</f>
        <v>≤2nd%</v>
      </c>
      <c r="E14" s="347" t="str">
        <f>VLOOKUP(D14,'Do Not Edit'!$A$178:$B$184,2,FALSE)</f>
        <v>Extremely Low</v>
      </c>
      <c r="F14" s="269" t="s">
        <v>43</v>
      </c>
      <c r="G14" s="4" t="s">
        <v>43</v>
      </c>
      <c r="H14" s="627"/>
      <c r="I14" s="633"/>
      <c r="J14" s="634"/>
      <c r="K14" s="634"/>
      <c r="L14" s="635"/>
      <c r="M14" s="621"/>
      <c r="N14" s="640" t="str">
        <f>IF(X14&lt;=-2,"markedly below expected",(IF(AND(X14&gt;=-2,X14&lt;=-1.5),"below expected",(IF(AND(X14&gt;-1.5,X14&lt;-1),"borderline lower than expected",(IF(AND(X14&gt;=-1,X14&lt;=1),"as expected","above expected")))))))</f>
        <v>markedly below expected</v>
      </c>
      <c r="O14" s="640" t="str">
        <f>IF(Y14&lt;=-2,"markedly below expected",(IF(AND(Y14&gt;=-2,Y14&lt;=-1.5),"below expected",(IF(AND(Y14&gt;-1.5,Y14&lt;-1),"borderline lower than expected",(IF(AND(Y14&gt;=-1,Y14&lt;=1),"as expected","above expected")))))))</f>
        <v>markedly below expected</v>
      </c>
      <c r="P14" s="628" t="str">
        <f>IF(O14=N14,N14,"between "&amp;N14&amp;" and "&amp;O14)</f>
        <v>markedly below expected</v>
      </c>
      <c r="Q14" s="621"/>
      <c r="R14" s="621"/>
      <c r="S14" s="621"/>
      <c r="T14" s="621"/>
      <c r="U14" s="621" t="str">
        <f>D14</f>
        <v>≤2nd%</v>
      </c>
      <c r="V14" s="629">
        <f>VLOOKUP(U14,$Z$10:$AA$16,2,FALSE)</f>
        <v>9.9999999999999995E-7</v>
      </c>
      <c r="W14" s="629">
        <f>VLOOKUP(U14,$Z$10:$AB$16,3,FALSE)</f>
        <v>0.02</v>
      </c>
      <c r="X14" s="642">
        <f>_xlfn.NORM.S.INV(V14)-F6</f>
        <v>-4.96274204215623</v>
      </c>
      <c r="Y14" s="642">
        <f>_xlfn.NORM.S.INV(W14)-F6</f>
        <v>-2.2630666439651534</v>
      </c>
      <c r="Z14" s="626" t="s">
        <v>649</v>
      </c>
      <c r="AA14" s="638">
        <v>0.26</v>
      </c>
      <c r="AB14" s="639">
        <v>0.5</v>
      </c>
      <c r="AC14" s="621"/>
      <c r="AD14" s="621"/>
      <c r="AE14" s="621"/>
      <c r="AF14" s="621"/>
      <c r="AG14" s="621"/>
      <c r="AH14" s="621"/>
      <c r="AI14" s="621"/>
      <c r="AJ14" s="621"/>
    </row>
    <row r="15" spans="1:36" ht="15" x14ac:dyDescent="0.15">
      <c r="A15" s="263" t="s">
        <v>17</v>
      </c>
      <c r="B15" s="288">
        <f>'Front Page &amp; Raw Test Scores'!D40</f>
        <v>16</v>
      </c>
      <c r="C15" s="268">
        <f>'DNE2'!W114</f>
        <v>7</v>
      </c>
      <c r="D15" s="266">
        <f>_xlfn.NORM.S.DIST(H15,TRUE)</f>
        <v>0.15865525393145699</v>
      </c>
      <c r="E15" s="3" t="str">
        <f>IF(C15&lt;4,"Extremely Low", (IF(AND(C15&gt;=4,C15&lt;6),"Borderline",(IF(AND(C15&gt;=6,C15&lt;8),"Low Average",(IF(AND(C15&gt;=8,C15&lt;12),"Average",(IF(AND(C15&gt;=12,C15&lt;14),"High Average",(IF(AND(C15&gt;=14,C15&lt;16),"Superior","Very Superior")))))))))))</f>
        <v>Low Average</v>
      </c>
      <c r="F15" s="22">
        <f t="shared" ref="F15:F17" si="1">C15-$C$6</f>
        <v>-4</v>
      </c>
      <c r="G15" s="4">
        <f>H15-$F$6</f>
        <v>-1.2093177333333311</v>
      </c>
      <c r="H15" s="627">
        <f>(1/3)*(C15-10)+0</f>
        <v>-1</v>
      </c>
      <c r="I15" s="628">
        <f>(VLOOKUP($D$1,'Do Not Edit'!$BJ$5:$BR$54,5))</f>
        <v>2.08</v>
      </c>
      <c r="J15" s="628">
        <f>I15*$L$5</f>
        <v>3.4216000000000002</v>
      </c>
      <c r="K15" s="628">
        <f>C15-ROUNDUP(J15,0)</f>
        <v>3</v>
      </c>
      <c r="L15" s="628">
        <f>C15+ROUNDUP(J15,0)</f>
        <v>11</v>
      </c>
      <c r="M15" s="626" t="s">
        <v>694</v>
      </c>
      <c r="N15" s="628" t="str">
        <f>IF(G15&lt;=-2,"markedly below expected",(IF(AND(G15&gt;=-2,G15&lt;=-1.5),"below expected",(IF(AND(G15&gt;-1.5,G15&lt;-1),"borderline lower than expected",(IF(AND(G15&gt;=-1,G15&lt;=1),"as expected","above expected")))))))</f>
        <v>borderline lower than expected</v>
      </c>
      <c r="O15" s="621"/>
      <c r="P15" s="621"/>
      <c r="Q15" s="621"/>
      <c r="R15" s="629">
        <f>IF(D15&lt;0.01,"&lt;1st",ROUND(100*D15,0))</f>
        <v>16</v>
      </c>
      <c r="S15" s="629" t="str" cm="1">
        <f t="array" ref="S15">IF(R15="&lt;1st","&lt;1st",(R15&amp;""&amp;CHOOSE(AND(MOD(R15,100)&lt;&gt;{11,12,13})*MIN(4,MOD(R15,10))+1,"th","st","nd","rd","th")))</f>
        <v>16th</v>
      </c>
      <c r="T15" s="621"/>
      <c r="U15" s="621"/>
      <c r="V15" s="629"/>
      <c r="W15" s="629"/>
      <c r="X15" s="641"/>
      <c r="Y15" s="641"/>
      <c r="Z15" s="626" t="s">
        <v>650</v>
      </c>
      <c r="AA15" s="638">
        <v>0.51</v>
      </c>
      <c r="AB15" s="639">
        <v>0.75</v>
      </c>
      <c r="AC15" s="621"/>
      <c r="AD15" s="621"/>
      <c r="AE15" s="621"/>
      <c r="AF15" s="621"/>
      <c r="AG15" s="621"/>
      <c r="AH15" s="621"/>
      <c r="AI15" s="621"/>
      <c r="AJ15" s="621"/>
    </row>
    <row r="16" spans="1:36" ht="15" x14ac:dyDescent="0.15">
      <c r="A16" s="263" t="s">
        <v>18</v>
      </c>
      <c r="B16" s="288">
        <f>'Front Page &amp; Raw Test Scores'!D41</f>
        <v>4</v>
      </c>
      <c r="C16" s="268">
        <f>'DNE2'!AD114</f>
        <v>2</v>
      </c>
      <c r="D16" s="266">
        <f>_xlfn.NORM.S.DIST(H16,TRUE)</f>
        <v>3.8303805675897356E-3</v>
      </c>
      <c r="E16" s="3" t="str">
        <f>IF(C16&lt;4,"Extremely Low", (IF(AND(C16&gt;=4,C16&lt;6),"Borderline",(IF(AND(C16&gt;=6,C16&lt;8),"Low Average",(IF(AND(C16&gt;=8,C16&lt;12),"Average",(IF(AND(C16&gt;=12,C16&lt;14),"High Average",(IF(AND(C16&gt;=14,C16&lt;16),"Superior","Very Superior")))))))))))</f>
        <v>Extremely Low</v>
      </c>
      <c r="F16" s="22">
        <f t="shared" si="1"/>
        <v>-9</v>
      </c>
      <c r="G16" s="4">
        <f>H16-$F$6</f>
        <v>-2.8759843999999974</v>
      </c>
      <c r="H16" s="627">
        <f>(1/3)*(C16-10)+0</f>
        <v>-2.6666666666666665</v>
      </c>
      <c r="I16" s="628">
        <f>(VLOOKUP($D$1,'Do Not Edit'!$BJ$5:$BR$54,6))</f>
        <v>1.47</v>
      </c>
      <c r="J16" s="628">
        <f>I16*$L$5</f>
        <v>2.4181499999999998</v>
      </c>
      <c r="K16" s="628">
        <f>C16-ROUNDUP(J16,0)</f>
        <v>-1</v>
      </c>
      <c r="L16" s="628">
        <f>C16+ROUNDUP(J16,0)</f>
        <v>5</v>
      </c>
      <c r="M16" s="621">
        <f>'Front Page &amp; Raw Test Scores'!F41</f>
        <v>3</v>
      </c>
      <c r="N16" s="628" t="str">
        <f>IF(G16&lt;=-2,"markedly below expected",(IF(AND(G16&gt;=-2,G16&lt;=-1.5),"below expected",(IF(AND(G16&gt;-1.5,G16&lt;-1),"borderline lower than expected",(IF(AND(G16&gt;=-1,G16&lt;=1),"as expected","above expected")))))))</f>
        <v>markedly below expected</v>
      </c>
      <c r="O16" s="621"/>
      <c r="P16" s="621"/>
      <c r="Q16" s="621"/>
      <c r="R16" s="629" t="str">
        <f>IF(D16&lt;0.01,"&lt;1st",ROUND(100*D16,0))</f>
        <v>&lt;1st</v>
      </c>
      <c r="S16" s="629" t="str" cm="1">
        <f t="array" ref="S16">IF(R16="&lt;1st","&lt;1st",(R16&amp;""&amp;CHOOSE(AND(MOD(R16,100)&lt;&gt;{11,12,13})*MIN(4,MOD(R16,10))+1,"th","st","nd","rd","th")))</f>
        <v>&lt;1st</v>
      </c>
      <c r="T16" s="621"/>
      <c r="U16" s="621"/>
      <c r="V16" s="629"/>
      <c r="W16" s="629"/>
      <c r="X16" s="641"/>
      <c r="Y16" s="641"/>
      <c r="Z16" s="626" t="s">
        <v>651</v>
      </c>
      <c r="AA16" s="638">
        <v>0.76</v>
      </c>
      <c r="AB16" s="639">
        <v>0.99999000000000005</v>
      </c>
      <c r="AC16" s="621"/>
      <c r="AD16" s="621"/>
      <c r="AE16" s="621"/>
      <c r="AF16" s="621"/>
      <c r="AG16" s="621"/>
      <c r="AH16" s="621"/>
      <c r="AI16" s="621"/>
      <c r="AJ16" s="621"/>
    </row>
    <row r="17" spans="1:36" ht="15" x14ac:dyDescent="0.15">
      <c r="A17" s="263" t="s">
        <v>19</v>
      </c>
      <c r="B17" s="288">
        <f>'Front Page &amp; Raw Test Scores'!D42</f>
        <v>38</v>
      </c>
      <c r="C17" s="268">
        <f>'DNE2'!AK114</f>
        <v>7</v>
      </c>
      <c r="D17" s="266">
        <f>_xlfn.NORM.S.DIST(H17,TRUE)</f>
        <v>0.15865525393145699</v>
      </c>
      <c r="E17" s="3" t="str">
        <f>IF(C17&lt;4,"Extremely Low", (IF(AND(C17&gt;=4,C17&lt;6),"Borderline",(IF(AND(C17&gt;=6,C17&lt;8),"Low Average",(IF(AND(C17&gt;=8,C17&lt;12),"Average",(IF(AND(C17&gt;=12,C17&lt;14),"High Average",(IF(AND(C17&gt;=14,C17&lt;16),"Superior","Very Superior")))))))))))</f>
        <v>Low Average</v>
      </c>
      <c r="F17" s="22">
        <f t="shared" si="1"/>
        <v>-4</v>
      </c>
      <c r="G17" s="4">
        <f>H17-$F$6</f>
        <v>-1.2093177333333311</v>
      </c>
      <c r="H17" s="627">
        <f>(1/3)*(C17-10)+0</f>
        <v>-1</v>
      </c>
      <c r="I17" s="628">
        <f>(VLOOKUP($D$1,'Do Not Edit'!$BJ$5:$BR$54,7))</f>
        <v>1.24</v>
      </c>
      <c r="J17" s="628">
        <f>I17*$L$5</f>
        <v>2.0398000000000001</v>
      </c>
      <c r="K17" s="628">
        <f>C17-ROUNDUP(J17,0)</f>
        <v>4</v>
      </c>
      <c r="L17" s="628">
        <f>C17+ROUNDUP(J17,0)</f>
        <v>10</v>
      </c>
      <c r="M17" s="621"/>
      <c r="N17" s="628" t="str">
        <f>IF(G17&lt;=-2,"markedly below expected",(IF(AND(G17&gt;=-2,G17&lt;=-1.5),"below expected",(IF(AND(G17&gt;-1.5,G17&lt;-1),"borderline lower than expected",(IF(AND(G17&gt;=-1,G17&lt;=1),"as expected","above expected")))))))</f>
        <v>borderline lower than expected</v>
      </c>
      <c r="O17" s="621"/>
      <c r="P17" s="621"/>
      <c r="Q17" s="621"/>
      <c r="R17" s="629">
        <f>IF(D17&lt;0.01,"&lt;1st",ROUND(100*D17,0))</f>
        <v>16</v>
      </c>
      <c r="S17" s="629" t="str" cm="1">
        <f t="array" ref="S17">IF(R17="&lt;1st","&lt;1st",(R17&amp;""&amp;CHOOSE(AND(MOD(R17,100)&lt;&gt;{11,12,13})*MIN(4,MOD(R17,10))+1,"th","st","nd","rd","th")))</f>
        <v>16th</v>
      </c>
      <c r="T17" s="621"/>
      <c r="U17" s="621"/>
      <c r="V17" s="629"/>
      <c r="W17" s="629"/>
      <c r="X17" s="641"/>
      <c r="Y17" s="641"/>
      <c r="Z17" s="621"/>
      <c r="AA17" s="621"/>
      <c r="AB17" s="621"/>
      <c r="AC17" s="621"/>
      <c r="AD17" s="621"/>
      <c r="AE17" s="621"/>
      <c r="AF17" s="621"/>
      <c r="AG17" s="621"/>
      <c r="AH17" s="621"/>
      <c r="AI17" s="621"/>
      <c r="AJ17" s="621"/>
    </row>
    <row r="18" spans="1:36" ht="17" x14ac:dyDescent="0.2">
      <c r="A18" s="263" t="s">
        <v>20</v>
      </c>
      <c r="B18" s="288">
        <f>'Front Page &amp; Raw Test Scores'!D43</f>
        <v>5</v>
      </c>
      <c r="C18" s="76"/>
      <c r="D18" s="268" t="str">
        <f>'DNE2'!BT114</f>
        <v>26th-50th%</v>
      </c>
      <c r="E18" s="347" t="str">
        <f>VLOOKUP(D18,'Do Not Edit'!$A$178:$B$184,2,FALSE)</f>
        <v>Average</v>
      </c>
      <c r="F18" s="271" t="s">
        <v>43</v>
      </c>
      <c r="G18" s="4" t="s">
        <v>43</v>
      </c>
      <c r="H18" s="627"/>
      <c r="I18" s="630"/>
      <c r="J18" s="631"/>
      <c r="K18" s="631"/>
      <c r="L18" s="632"/>
      <c r="M18" s="621"/>
      <c r="N18" s="640" t="str">
        <f>IF(X18&lt;=-2,"markedly below expected",(IF(AND(X18&gt;=-2,X18&lt;=-1.5),"below expected",(IF(AND(X18&gt;-1.5,X18&lt;-1),"borderline lower than expected",(IF(AND(X18&gt;=-1,X18&lt;=1),"as expected","above expected")))))))</f>
        <v>as expected</v>
      </c>
      <c r="O18" s="640" t="str">
        <f>IF(Y18&lt;=-2,"markedly below expected",(IF(AND(Y18&gt;=-2,Y18&lt;=-1.5),"below expected",(IF(AND(Y18&gt;-1.5,Y18&lt;-1),"borderline lower than expected",(IF(AND(Y18&gt;=-1,Y18&lt;=1),"as expected","above expected")))))))</f>
        <v>as expected</v>
      </c>
      <c r="P18" s="628" t="str">
        <f>IF(O18=N18,N18,"between "&amp;N18&amp;" and "&amp;O18)</f>
        <v>as expected</v>
      </c>
      <c r="Q18" s="621"/>
      <c r="R18" s="621"/>
      <c r="S18" s="621"/>
      <c r="T18" s="621"/>
      <c r="U18" s="621" t="str">
        <f>D18</f>
        <v>26th-50th%</v>
      </c>
      <c r="V18" s="629">
        <f>VLOOKUP(U18,$Z$10:$AA$16,2,FALSE)</f>
        <v>0.26</v>
      </c>
      <c r="W18" s="629">
        <f>VLOOKUP(U18,$Z$10:$AB$16,3,FALSE)</f>
        <v>0.5</v>
      </c>
      <c r="X18" s="642">
        <f>_xlfn.NORM.S.INV(V18)-F8</f>
        <v>-0.99462540539291777</v>
      </c>
      <c r="Y18" s="642">
        <f>_xlfn.NORM.S.INV(W18)-F8</f>
        <v>-0.35128000000000081</v>
      </c>
      <c r="Z18" s="621"/>
      <c r="AA18" s="621"/>
      <c r="AB18" s="621"/>
      <c r="AC18" s="621"/>
      <c r="AD18" s="621"/>
      <c r="AE18" s="621"/>
      <c r="AF18" s="621"/>
      <c r="AG18" s="621"/>
      <c r="AH18" s="621"/>
      <c r="AI18" s="621"/>
      <c r="AJ18" s="621"/>
    </row>
    <row r="19" spans="1:36" ht="17" x14ac:dyDescent="0.2">
      <c r="A19" s="263" t="s">
        <v>21</v>
      </c>
      <c r="B19" s="288">
        <f>'Front Page &amp; Raw Test Scores'!D44</f>
        <v>15</v>
      </c>
      <c r="C19" s="76"/>
      <c r="D19" s="268" t="str">
        <f>'DNE2'!CA114</f>
        <v>≤2nd%</v>
      </c>
      <c r="E19" s="347" t="str">
        <f>VLOOKUP(D19,'Do Not Edit'!$A$178:$B$184,2,FALSE)</f>
        <v>Extremely Low</v>
      </c>
      <c r="F19" s="271" t="s">
        <v>43</v>
      </c>
      <c r="G19" s="4" t="s">
        <v>43</v>
      </c>
      <c r="H19" s="627"/>
      <c r="I19" s="633"/>
      <c r="J19" s="634"/>
      <c r="K19" s="634"/>
      <c r="L19" s="635"/>
      <c r="M19" s="621"/>
      <c r="N19" s="640" t="str">
        <f>IF(X19&lt;=-2,"markedly below expected",(IF(AND(X19&gt;=-2,X19&lt;=-1.5),"below expected",(IF(AND(X19&gt;-1.5,X19&lt;-1),"borderline lower than expected",(IF(AND(X19&gt;=-1,X19&lt;=1),"as expected","above expected")))))))</f>
        <v>markedly below expected</v>
      </c>
      <c r="O19" s="640" t="str">
        <f>IF(Y19&lt;=-2,"markedly below expected",(IF(AND(Y19&gt;=-2,Y19&lt;=-1.5),"below expected",(IF(AND(Y19&gt;-1.5,Y19&lt;-1),"borderline lower than expected",(IF(AND(Y19&gt;=-1,Y19&lt;=1),"as expected","above expected")))))))</f>
        <v>markedly below expected</v>
      </c>
      <c r="P19" s="628" t="str">
        <f>IF(O19=N19,N19,"between "&amp;N19&amp;" and "&amp;O19)</f>
        <v>markedly below expected</v>
      </c>
      <c r="Q19" s="621"/>
      <c r="R19" s="621"/>
      <c r="S19" s="621"/>
      <c r="T19" s="621"/>
      <c r="U19" s="621" t="str">
        <f>D19</f>
        <v>≤2nd%</v>
      </c>
      <c r="V19" s="629">
        <f>VLOOKUP(U19,$Z$10:$AA$16,2,FALSE)</f>
        <v>9.9999999999999995E-7</v>
      </c>
      <c r="W19" s="629">
        <f>VLOOKUP(U19,$Z$10:$AB$16,3,FALSE)</f>
        <v>0.02</v>
      </c>
      <c r="X19" s="642">
        <f>_xlfn.NORM.S.INV(V19)-F8</f>
        <v>-5.1047043088228996</v>
      </c>
      <c r="Y19" s="642">
        <f>_xlfn.NORM.S.INV(W19)-F8</f>
        <v>-2.4050289106318234</v>
      </c>
      <c r="Z19" s="621"/>
      <c r="AA19" s="621"/>
      <c r="AB19" s="621"/>
      <c r="AC19" s="621"/>
      <c r="AD19" s="621"/>
      <c r="AE19" s="621"/>
      <c r="AF19" s="621"/>
      <c r="AG19" s="621"/>
      <c r="AH19" s="621"/>
      <c r="AI19" s="621"/>
      <c r="AJ19" s="621"/>
    </row>
    <row r="20" spans="1:36" ht="15" x14ac:dyDescent="0.15">
      <c r="A20" s="263" t="s">
        <v>22</v>
      </c>
      <c r="B20" s="288">
        <f>'Front Page &amp; Raw Test Scores'!D45</f>
        <v>8</v>
      </c>
      <c r="C20" s="268">
        <f>'DNE2'!AR114</f>
        <v>9</v>
      </c>
      <c r="D20" s="266">
        <f>_xlfn.NORM.S.DIST(H20,TRUE)</f>
        <v>0.36944134018176361</v>
      </c>
      <c r="E20" s="3" t="str">
        <f>IF(C20&lt;4,"Extremely Low", (IF(AND(C20&gt;=4,C20&lt;6),"Borderline",(IF(AND(C20&gt;=6,C20&lt;8),"Low Average",(IF(AND(C20&gt;=8,C20&lt;12),"Average",(IF(AND(C20&gt;=12,C20&lt;14),"High Average",(IF(AND(C20&gt;=14,C20&lt;16),"Superior","Very Superior")))))))))))</f>
        <v>Average</v>
      </c>
      <c r="F20" s="22">
        <f>C20-$C$8</f>
        <v>-2</v>
      </c>
      <c r="G20" s="4">
        <f>H20-$F$8</f>
        <v>-0.68461333333333418</v>
      </c>
      <c r="H20" s="627">
        <f>(1/3)*(C20-10)+0</f>
        <v>-0.33333333333333331</v>
      </c>
      <c r="I20" s="628">
        <f>(VLOOKUP($D$1,'Do Not Edit'!$BJ$5:$BR$54,8))</f>
        <v>1.59</v>
      </c>
      <c r="J20" s="628">
        <f>I20*$L$5</f>
        <v>2.6155500000000003</v>
      </c>
      <c r="K20" s="628">
        <f>C20-ROUNDUP(J20,0)</f>
        <v>6</v>
      </c>
      <c r="L20" s="628">
        <f>C20+ROUNDUP(J20,0)</f>
        <v>12</v>
      </c>
      <c r="M20" s="621"/>
      <c r="N20" s="628" t="str">
        <f>IF(G20&lt;=-2,"markedly below expected",(IF(AND(G20&gt;=-2,G20&lt;=-1.5),"below expected",(IF(AND(G20&gt;-1.5,G20&lt;-1),"borderline lower than expected",(IF(AND(G20&gt;=-1,G20&lt;=1),"as expected","above expected")))))))</f>
        <v>as expected</v>
      </c>
      <c r="O20" s="621"/>
      <c r="P20" s="621"/>
      <c r="Q20" s="621"/>
      <c r="R20" s="629">
        <f>IF(D20&lt;0.01,"&lt;1st",ROUND(100*D20,0))</f>
        <v>37</v>
      </c>
      <c r="S20" s="629" t="str" cm="1">
        <f t="array" ref="S20">IF(R20="&lt;1st","&lt;1st",(R20&amp;""&amp;CHOOSE(AND(MOD(R20,100)&lt;&gt;{11,12,13})*MIN(4,MOD(R20,10))+1,"th","st","nd","rd","th")))</f>
        <v>37th</v>
      </c>
      <c r="T20" s="621"/>
      <c r="U20" s="621"/>
      <c r="V20" s="621"/>
      <c r="W20" s="621"/>
      <c r="X20" s="621"/>
      <c r="Y20" s="621"/>
      <c r="Z20" s="621"/>
      <c r="AA20" s="621"/>
      <c r="AB20" s="621"/>
      <c r="AC20" s="621"/>
      <c r="AD20" s="621"/>
      <c r="AE20" s="621"/>
      <c r="AF20" s="621"/>
      <c r="AG20" s="621"/>
      <c r="AH20" s="621"/>
      <c r="AI20" s="621"/>
      <c r="AJ20" s="621"/>
    </row>
    <row r="21" spans="1:36" ht="15" x14ac:dyDescent="0.15">
      <c r="A21" s="263" t="s">
        <v>23</v>
      </c>
      <c r="B21" s="288">
        <f>'Front Page &amp; Raw Test Scores'!D46</f>
        <v>10</v>
      </c>
      <c r="C21" s="268">
        <f>'DNE2'!AY114</f>
        <v>8</v>
      </c>
      <c r="D21" s="266">
        <f>_xlfn.NORM.S.DIST(H21,TRUE)</f>
        <v>0.25249253754692291</v>
      </c>
      <c r="E21" s="3" t="str">
        <f>IF(C21&lt;4,"Extremely Low", (IF(AND(C21&gt;=4,C21&lt;6),"Borderline",(IF(AND(C21&gt;=6,C21&lt;8),"Low Average",(IF(AND(C21&gt;=8,C21&lt;12),"Average",(IF(AND(C21&gt;=12,C21&lt;14),"High Average",(IF(AND(C21&gt;=14,C21&lt;16),"Superior","Very Superior")))))))))))</f>
        <v>Average</v>
      </c>
      <c r="F21" s="22">
        <f>C21-$C$8</f>
        <v>-3</v>
      </c>
      <c r="G21" s="4">
        <f>H21-$F$8</f>
        <v>-1.0179466666666674</v>
      </c>
      <c r="H21" s="627">
        <f>(1/3)*(C21-10)+0</f>
        <v>-0.66666666666666663</v>
      </c>
      <c r="I21" s="628">
        <f>(VLOOKUP($D$1,'Do Not Edit'!$BJ$5:$BR$54,9))</f>
        <v>2.0099999999999998</v>
      </c>
      <c r="J21" s="628">
        <f>I21*$L$5</f>
        <v>3.3064499999999999</v>
      </c>
      <c r="K21" s="628">
        <f>C21-ROUNDUP(J21,0)</f>
        <v>4</v>
      </c>
      <c r="L21" s="628">
        <f>C21+ROUNDUP(J21,0)</f>
        <v>12</v>
      </c>
      <c r="M21" s="621"/>
      <c r="N21" s="628" t="str">
        <f>IF(G21&lt;=-2,"markedly below expected",(IF(AND(G21&gt;=-2,G21&lt;=-1.5),"below expected",(IF(AND(G21&gt;-1.5,G21&lt;-1),"borderline lower than expected",(IF(AND(G21&gt;=-1,G21&lt;=1),"as expected","above expected")))))))</f>
        <v>borderline lower than expected</v>
      </c>
      <c r="O21" s="621"/>
      <c r="P21" s="621"/>
      <c r="Q21" s="621"/>
      <c r="R21" s="629">
        <f>IF(D21&lt;0.01,"&lt;1st",ROUND(100*D21,0))</f>
        <v>25</v>
      </c>
      <c r="S21" s="629" t="str" cm="1">
        <f t="array" ref="S21">IF(R21="&lt;1st","&lt;1st",(R21&amp;""&amp;CHOOSE(AND(MOD(R21,100)&lt;&gt;{11,12,13})*MIN(4,MOD(R21,10))+1,"th","st","nd","rd","th")))</f>
        <v>25th</v>
      </c>
      <c r="T21" s="621"/>
      <c r="U21" s="76"/>
      <c r="V21" s="76"/>
      <c r="W21" s="76"/>
      <c r="X21" s="76"/>
      <c r="Y21" s="76"/>
      <c r="Z21" s="621"/>
      <c r="AA21" s="621"/>
      <c r="AB21" s="621"/>
      <c r="AC21" s="621"/>
      <c r="AD21" s="621"/>
      <c r="AE21" s="621"/>
      <c r="AF21" s="621"/>
      <c r="AG21" s="621"/>
      <c r="AH21" s="621"/>
      <c r="AI21" s="621"/>
      <c r="AJ21" s="621"/>
    </row>
    <row r="22" spans="1:36" ht="28" x14ac:dyDescent="0.15">
      <c r="A22" s="263"/>
      <c r="B22" s="260" t="s">
        <v>178</v>
      </c>
      <c r="C22" s="260" t="str">
        <f>B3</f>
        <v>±90% CI</v>
      </c>
      <c r="D22" s="261" t="s">
        <v>41</v>
      </c>
      <c r="E22" s="860" t="s">
        <v>4</v>
      </c>
      <c r="F22" s="860"/>
      <c r="G22" s="262" t="s">
        <v>475</v>
      </c>
      <c r="H22" s="636" t="s">
        <v>57</v>
      </c>
      <c r="I22" s="621"/>
      <c r="J22" s="621"/>
      <c r="K22" s="644" t="s">
        <v>491</v>
      </c>
      <c r="L22" s="644" t="s">
        <v>492</v>
      </c>
      <c r="M22" s="621"/>
      <c r="N22" s="621"/>
      <c r="O22" s="621"/>
      <c r="P22" s="621"/>
      <c r="Q22" s="621"/>
      <c r="R22" s="621"/>
      <c r="S22" s="621"/>
      <c r="T22" s="621"/>
      <c r="U22" s="76"/>
      <c r="V22" s="76"/>
      <c r="W22" s="76"/>
      <c r="X22" s="76"/>
      <c r="Y22" s="76"/>
      <c r="Z22" s="621"/>
      <c r="AA22" s="621"/>
      <c r="AB22" s="621"/>
      <c r="AC22" s="621"/>
      <c r="AD22" s="621"/>
      <c r="AE22" s="621"/>
      <c r="AF22" s="621"/>
      <c r="AG22" s="621"/>
      <c r="AH22" s="621"/>
      <c r="AI22" s="621"/>
      <c r="AJ22" s="621"/>
    </row>
    <row r="23" spans="1:36" ht="15" x14ac:dyDescent="0.15">
      <c r="A23" s="272" t="s">
        <v>24</v>
      </c>
      <c r="B23" s="409">
        <f>'DNE3'!B281</f>
        <v>109</v>
      </c>
      <c r="C23" s="274">
        <f>IF($C$22="±95% CI",VLOOKUP($D$1,'Do Not Edit'!$S$3:$Y$53,2),VLOOKUP($D$1,'Do Not Edit'!$AB$4:$AH$53,2))</f>
        <v>10</v>
      </c>
      <c r="D23" s="275">
        <f t="shared" ref="D23:D28" si="2">_xlfn.NORM.S.DIST(H23,TRUE)</f>
        <v>0.72574688224992645</v>
      </c>
      <c r="E23" s="859" t="str">
        <f t="shared" ref="E23:E28" si="3">IF(B23&lt;70,"Extremely Low", (IF(AND(B23&gt;=70,B23&lt;80),"Borderline",(IF(AND(B23&gt;=80,B23&lt;90),"Low Average",(IF(AND(B23&gt;=90,B23&lt;110),"Average",(IF(AND(B23&gt;=110,B23&lt;120),"High Average",(IF(AND(B23&gt;=120,B23&lt;130),"Superior","Very Superior")))))))))))</f>
        <v>Average</v>
      </c>
      <c r="F23" s="859"/>
      <c r="G23" s="4">
        <f>((B23-100)/15)-$F$7</f>
        <v>0.23955333333333328</v>
      </c>
      <c r="H23" s="627">
        <f t="shared" ref="H23:H28" si="4">(B23-100)/15</f>
        <v>0.6</v>
      </c>
      <c r="I23" s="621"/>
      <c r="J23" s="621" t="str">
        <f t="shared" ref="J23:J28" si="5">IF($C$22="±90% CI","90% CI","95% CI")</f>
        <v>90% CI</v>
      </c>
      <c r="K23" s="193">
        <f t="shared" ref="K23:K28" si="6">B23-C23</f>
        <v>99</v>
      </c>
      <c r="L23" s="193">
        <f t="shared" ref="L23:L28" si="7">B23+C23</f>
        <v>119</v>
      </c>
      <c r="M23" s="621"/>
      <c r="N23" s="628" t="str">
        <f t="shared" ref="N23:N28" si="8">IF(G23&lt;=-2,"markedly below expected",(IF(AND(G23&gt;=-2,G23&lt;=-1.5),"below expected",(IF(AND(G23&gt;-1.5,G23&lt;-1),"borderline lower than expected",(IF(AND(G23&gt;=-1,G23&lt;=1),"as expected","above expected")))))))</f>
        <v>as expected</v>
      </c>
      <c r="O23" s="621" t="str">
        <f t="shared" ref="O23:O28" si="9">"("&amp;$J$23&amp;" "&amp;K23&amp;"-"&amp;L23&amp;")"</f>
        <v>(90% CI 99-119)</v>
      </c>
      <c r="P23" s="621"/>
      <c r="Q23" s="621"/>
      <c r="R23" s="629">
        <f t="shared" ref="R23:R28" si="10">IF(D23&lt;0.01,"&lt;1st",ROUND(100*D23,0))</f>
        <v>73</v>
      </c>
      <c r="S23" s="629" t="str" cm="1">
        <f t="array" ref="S23">IF(R23="&lt;1st","&lt;1st",(R23&amp;""&amp;CHOOSE(AND(MOD(R23,100)&lt;&gt;{11,12,13})*MIN(4,MOD(R23,10))+1,"th","st","nd","rd","th")))</f>
        <v>73rd</v>
      </c>
      <c r="T23" s="621"/>
      <c r="U23" s="76"/>
      <c r="V23" s="76"/>
      <c r="W23" s="76"/>
      <c r="X23" s="76"/>
      <c r="Y23" s="76"/>
      <c r="Z23" s="621"/>
      <c r="AA23" s="621"/>
      <c r="AB23" s="621"/>
      <c r="AC23" s="621"/>
      <c r="AD23" s="621"/>
      <c r="AE23" s="621"/>
      <c r="AF23" s="621"/>
      <c r="AG23" s="621"/>
      <c r="AH23" s="621"/>
      <c r="AI23" s="621"/>
      <c r="AJ23" s="621"/>
    </row>
    <row r="24" spans="1:36" ht="15" x14ac:dyDescent="0.15">
      <c r="A24" s="272" t="s">
        <v>177</v>
      </c>
      <c r="B24" s="409">
        <f>'DNE3'!B282</f>
        <v>50</v>
      </c>
      <c r="C24" s="274">
        <f>IF($C$22="±95% CI",VLOOKUP($D$1,'Do Not Edit'!$S$3:$Y$53,3),VLOOKUP($D$1,'Do Not Edit'!$AB$4:$AH$53,3))</f>
        <v>10</v>
      </c>
      <c r="D24" s="275">
        <f t="shared" si="2"/>
        <v>4.2906033319683703E-4</v>
      </c>
      <c r="E24" s="859" t="str">
        <f t="shared" si="3"/>
        <v>Extremely Low</v>
      </c>
      <c r="F24" s="859"/>
      <c r="G24" s="4">
        <f>((B24-100)/15)-$F$6</f>
        <v>-3.5426510666666644</v>
      </c>
      <c r="H24" s="627">
        <f t="shared" si="4"/>
        <v>-3.3333333333333335</v>
      </c>
      <c r="I24" s="621"/>
      <c r="J24" s="621" t="str">
        <f t="shared" si="5"/>
        <v>90% CI</v>
      </c>
      <c r="K24" s="193">
        <f t="shared" si="6"/>
        <v>40</v>
      </c>
      <c r="L24" s="193">
        <f t="shared" si="7"/>
        <v>60</v>
      </c>
      <c r="M24" s="621"/>
      <c r="N24" s="628" t="str">
        <f t="shared" si="8"/>
        <v>markedly below expected</v>
      </c>
      <c r="O24" s="621" t="str">
        <f t="shared" si="9"/>
        <v>(90% CI 40-60)</v>
      </c>
      <c r="P24" s="621"/>
      <c r="Q24" s="621"/>
      <c r="R24" s="629" t="str">
        <f t="shared" si="10"/>
        <v>&lt;1st</v>
      </c>
      <c r="S24" s="629" t="str" cm="1">
        <f t="array" ref="S24">IF(R24="&lt;1st","&lt;1st",(R24&amp;""&amp;CHOOSE(AND(MOD(R24,100)&lt;&gt;{11,12,13})*MIN(4,MOD(R24,10))+1,"th","st","nd","rd","th")))</f>
        <v>&lt;1st</v>
      </c>
      <c r="T24" s="621"/>
      <c r="U24" s="76"/>
      <c r="V24" s="76"/>
      <c r="W24" s="76"/>
      <c r="X24" s="76"/>
      <c r="Y24" s="76"/>
      <c r="Z24" s="621"/>
      <c r="AA24" s="621"/>
      <c r="AB24" s="621"/>
      <c r="AC24" s="621"/>
      <c r="AD24" s="621"/>
      <c r="AE24" s="621"/>
      <c r="AF24" s="621"/>
      <c r="AG24" s="621"/>
      <c r="AH24" s="621"/>
      <c r="AI24" s="621"/>
      <c r="AJ24" s="621"/>
    </row>
    <row r="25" spans="1:36" ht="15" x14ac:dyDescent="0.15">
      <c r="A25" s="272" t="s">
        <v>26</v>
      </c>
      <c r="B25" s="409">
        <f>'DNE3'!B283</f>
        <v>60</v>
      </c>
      <c r="C25" s="274">
        <f>IF($C$22="±95% CI",VLOOKUP($D$1,'Do Not Edit'!$S$3:$Y$53,4),VLOOKUP($D$1,'Do Not Edit'!$AB$4:$AH$53,4))</f>
        <v>10</v>
      </c>
      <c r="D25" s="275">
        <f t="shared" si="2"/>
        <v>3.8303805675897356E-3</v>
      </c>
      <c r="E25" s="859" t="str">
        <f t="shared" si="3"/>
        <v>Extremely Low</v>
      </c>
      <c r="F25" s="859"/>
      <c r="G25" s="4">
        <f>H25-$F$6</f>
        <v>-2.8759843999999974</v>
      </c>
      <c r="H25" s="627">
        <f t="shared" si="4"/>
        <v>-2.6666666666666665</v>
      </c>
      <c r="I25" s="621"/>
      <c r="J25" s="621" t="str">
        <f t="shared" si="5"/>
        <v>90% CI</v>
      </c>
      <c r="K25" s="193">
        <f t="shared" si="6"/>
        <v>50</v>
      </c>
      <c r="L25" s="193">
        <f t="shared" si="7"/>
        <v>70</v>
      </c>
      <c r="M25" s="621"/>
      <c r="N25" s="628" t="str">
        <f t="shared" si="8"/>
        <v>markedly below expected</v>
      </c>
      <c r="O25" s="621" t="str">
        <f t="shared" si="9"/>
        <v>(90% CI 50-70)</v>
      </c>
      <c r="P25" s="621"/>
      <c r="Q25" s="621"/>
      <c r="R25" s="629" t="str">
        <f t="shared" si="10"/>
        <v>&lt;1st</v>
      </c>
      <c r="S25" s="629" t="str" cm="1">
        <f t="array" ref="S25">IF(R25="&lt;1st","&lt;1st",(R25&amp;""&amp;CHOOSE(AND(MOD(R25,100)&lt;&gt;{11,12,13})*MIN(4,MOD(R25,10))+1,"th","st","nd","rd","th")))</f>
        <v>&lt;1st</v>
      </c>
      <c r="T25" s="621"/>
      <c r="U25" s="76"/>
      <c r="V25" s="76"/>
      <c r="W25" s="76"/>
      <c r="X25" s="76"/>
      <c r="Y25" s="76"/>
      <c r="Z25" s="621"/>
      <c r="AA25" s="621"/>
      <c r="AB25" s="621"/>
      <c r="AC25" s="621"/>
      <c r="AD25" s="621"/>
      <c r="AE25" s="621"/>
      <c r="AF25" s="621"/>
      <c r="AG25" s="621"/>
      <c r="AH25" s="621"/>
      <c r="AI25" s="621"/>
      <c r="AJ25" s="621"/>
    </row>
    <row r="26" spans="1:36" ht="15" x14ac:dyDescent="0.15">
      <c r="A26" s="272" t="s">
        <v>27</v>
      </c>
      <c r="B26" s="409">
        <f>'DNE3'!B284</f>
        <v>64</v>
      </c>
      <c r="C26" s="274">
        <f>IF($C$22="±95% CI",VLOOKUP($D$1,'Do Not Edit'!$S$3:$Y$53,5),VLOOKUP($D$1,'Do Not Edit'!$AB$4:$AH$53,5))</f>
        <v>10</v>
      </c>
      <c r="D26" s="275">
        <f t="shared" si="2"/>
        <v>8.1975359245961311E-3</v>
      </c>
      <c r="E26" s="859" t="str">
        <f t="shared" si="3"/>
        <v>Extremely Low</v>
      </c>
      <c r="F26" s="859"/>
      <c r="G26" s="4">
        <f>H26-$F$6</f>
        <v>-2.6093177333333308</v>
      </c>
      <c r="H26" s="627">
        <f t="shared" si="4"/>
        <v>-2.4</v>
      </c>
      <c r="I26" s="621"/>
      <c r="J26" s="621" t="str">
        <f t="shared" si="5"/>
        <v>90% CI</v>
      </c>
      <c r="K26" s="193">
        <f t="shared" si="6"/>
        <v>54</v>
      </c>
      <c r="L26" s="193">
        <f t="shared" si="7"/>
        <v>74</v>
      </c>
      <c r="M26" s="621"/>
      <c r="N26" s="628" t="str">
        <f t="shared" si="8"/>
        <v>markedly below expected</v>
      </c>
      <c r="O26" s="621" t="str">
        <f t="shared" si="9"/>
        <v>(90% CI 54-74)</v>
      </c>
      <c r="P26" s="621"/>
      <c r="Q26" s="621"/>
      <c r="R26" s="629" t="str">
        <f t="shared" si="10"/>
        <v>&lt;1st</v>
      </c>
      <c r="S26" s="629" t="str" cm="1">
        <f t="array" ref="S26">IF(R26="&lt;1st","&lt;1st",(R26&amp;""&amp;CHOOSE(AND(MOD(R26,100)&lt;&gt;{11,12,13})*MIN(4,MOD(R26,10))+1,"th","st","nd","rd","th")))</f>
        <v>&lt;1st</v>
      </c>
      <c r="T26" s="621"/>
      <c r="U26" s="76"/>
      <c r="V26" s="76"/>
      <c r="W26" s="76"/>
      <c r="X26" s="76"/>
      <c r="Y26" s="76"/>
      <c r="Z26" s="621"/>
      <c r="AA26" s="621"/>
      <c r="AB26" s="621"/>
      <c r="AC26" s="621"/>
      <c r="AD26" s="621"/>
      <c r="AE26" s="621"/>
      <c r="AF26" s="621"/>
      <c r="AG26" s="621"/>
      <c r="AH26" s="621"/>
      <c r="AI26" s="621"/>
      <c r="AJ26" s="621"/>
    </row>
    <row r="27" spans="1:36" ht="15" x14ac:dyDescent="0.15">
      <c r="A27" s="272" t="s">
        <v>28</v>
      </c>
      <c r="B27" s="409">
        <f>'DNE3'!B285</f>
        <v>75</v>
      </c>
      <c r="C27" s="274">
        <f>IF($C$22="±95% CI",VLOOKUP($D$1,'Do Not Edit'!$S$3:$Y$53,6),VLOOKUP($D$1,'Do Not Edit'!$AB$4:$AH$53,6))</f>
        <v>10</v>
      </c>
      <c r="D27" s="275">
        <f t="shared" si="2"/>
        <v>4.7790352272814703E-2</v>
      </c>
      <c r="E27" s="859" t="str">
        <f t="shared" si="3"/>
        <v>Borderline</v>
      </c>
      <c r="F27" s="859"/>
      <c r="G27" s="4">
        <f>H27-$F$8</f>
        <v>-2.0179466666666674</v>
      </c>
      <c r="H27" s="627">
        <f t="shared" si="4"/>
        <v>-1.6666666666666667</v>
      </c>
      <c r="I27" s="621"/>
      <c r="J27" s="621" t="str">
        <f t="shared" si="5"/>
        <v>90% CI</v>
      </c>
      <c r="K27" s="193">
        <f t="shared" si="6"/>
        <v>65</v>
      </c>
      <c r="L27" s="193">
        <f t="shared" si="7"/>
        <v>85</v>
      </c>
      <c r="M27" s="621"/>
      <c r="N27" s="628" t="str">
        <f t="shared" si="8"/>
        <v>markedly below expected</v>
      </c>
      <c r="O27" s="621" t="str">
        <f t="shared" si="9"/>
        <v>(90% CI 65-85)</v>
      </c>
      <c r="P27" s="621"/>
      <c r="Q27" s="621"/>
      <c r="R27" s="629">
        <f t="shared" si="10"/>
        <v>5</v>
      </c>
      <c r="S27" s="629" t="str" cm="1">
        <f t="array" ref="S27">IF(R27="&lt;1st","&lt;1st",(R27&amp;""&amp;CHOOSE(AND(MOD(R27,100)&lt;&gt;{11,12,13})*MIN(4,MOD(R27,10))+1,"th","st","nd","rd","th")))</f>
        <v>5th</v>
      </c>
      <c r="T27" s="621"/>
      <c r="U27" s="76"/>
      <c r="V27" s="76"/>
      <c r="W27" s="76"/>
      <c r="X27" s="76"/>
      <c r="Y27" s="76"/>
      <c r="Z27" s="621"/>
      <c r="AA27" s="621"/>
      <c r="AB27" s="621"/>
      <c r="AC27" s="621"/>
      <c r="AD27" s="621"/>
      <c r="AE27" s="621"/>
      <c r="AF27" s="621"/>
      <c r="AG27" s="621"/>
      <c r="AH27" s="621"/>
      <c r="AI27" s="621"/>
      <c r="AJ27" s="621"/>
    </row>
    <row r="28" spans="1:36" ht="15" x14ac:dyDescent="0.15">
      <c r="A28" s="272" t="s">
        <v>210</v>
      </c>
      <c r="B28" s="409">
        <f>'DNE3'!B288</f>
        <v>64</v>
      </c>
      <c r="C28" s="274">
        <f>IF($C$22="±95% CI",VLOOKUP($D$1,'Do Not Edit'!$S$3:$Y$53,7),VLOOKUP($D$1,'Do Not Edit'!$AB$4:$AH$53,7))</f>
        <v>7</v>
      </c>
      <c r="D28" s="275">
        <f t="shared" si="2"/>
        <v>8.1975359245961311E-3</v>
      </c>
      <c r="E28" s="859" t="str">
        <f t="shared" si="3"/>
        <v>Extremely Low</v>
      </c>
      <c r="F28" s="859"/>
      <c r="G28" s="4">
        <f>H28-$F$6</f>
        <v>-2.6093177333333308</v>
      </c>
      <c r="H28" s="627">
        <f t="shared" si="4"/>
        <v>-2.4</v>
      </c>
      <c r="I28" s="621"/>
      <c r="J28" s="621" t="str">
        <f t="shared" si="5"/>
        <v>90% CI</v>
      </c>
      <c r="K28" s="193">
        <f t="shared" si="6"/>
        <v>57</v>
      </c>
      <c r="L28" s="193">
        <f t="shared" si="7"/>
        <v>71</v>
      </c>
      <c r="M28" s="621"/>
      <c r="N28" s="628" t="str">
        <f t="shared" si="8"/>
        <v>markedly below expected</v>
      </c>
      <c r="O28" s="621" t="str">
        <f t="shared" si="9"/>
        <v>(90% CI 57-71)</v>
      </c>
      <c r="P28" s="621"/>
      <c r="Q28" s="621"/>
      <c r="R28" s="629" t="str">
        <f t="shared" si="10"/>
        <v>&lt;1st</v>
      </c>
      <c r="S28" s="629" t="str" cm="1">
        <f t="array" ref="S28">IF(R28="&lt;1st","&lt;1st",(R28&amp;""&amp;CHOOSE(AND(MOD(R28,100)&lt;&gt;{11,12,13})*MIN(4,MOD(R28,10))+1,"th","st","nd","rd","th")))</f>
        <v>&lt;1st</v>
      </c>
      <c r="T28" s="621"/>
      <c r="U28" s="76"/>
      <c r="V28" s="76"/>
      <c r="W28" s="76"/>
      <c r="X28" s="76"/>
      <c r="Y28" s="76"/>
      <c r="Z28" s="621"/>
      <c r="AA28" s="621"/>
      <c r="AB28" s="621"/>
      <c r="AC28" s="621"/>
      <c r="AD28" s="621"/>
      <c r="AE28" s="621"/>
      <c r="AF28" s="621"/>
      <c r="AG28" s="621"/>
      <c r="AH28" s="621"/>
      <c r="AI28" s="621"/>
      <c r="AJ28" s="621"/>
    </row>
    <row r="29" spans="1:36" ht="30" x14ac:dyDescent="0.15">
      <c r="A29" s="276" t="s">
        <v>30</v>
      </c>
      <c r="B29" s="277" t="s">
        <v>434</v>
      </c>
      <c r="C29" s="278" t="s">
        <v>31</v>
      </c>
      <c r="D29" s="278" t="s">
        <v>41</v>
      </c>
      <c r="E29" s="278" t="s">
        <v>4</v>
      </c>
      <c r="F29" s="279" t="s">
        <v>10</v>
      </c>
      <c r="G29" s="279" t="s">
        <v>474</v>
      </c>
      <c r="H29" s="621"/>
      <c r="I29" s="621"/>
      <c r="J29" s="621"/>
      <c r="K29" s="624"/>
      <c r="L29" s="621"/>
      <c r="M29" s="621"/>
      <c r="N29" s="621"/>
      <c r="O29" s="621"/>
      <c r="P29" s="621"/>
      <c r="Q29" s="621"/>
      <c r="R29" s="621"/>
      <c r="S29" s="621"/>
      <c r="T29" s="621"/>
      <c r="U29" s="76"/>
      <c r="V29" s="76"/>
      <c r="W29" s="76"/>
      <c r="X29" s="76"/>
      <c r="Y29" s="76"/>
      <c r="Z29" s="621"/>
      <c r="AA29" s="621"/>
      <c r="AB29" s="621"/>
      <c r="AC29" s="621"/>
      <c r="AD29" s="621"/>
      <c r="AE29" s="621"/>
      <c r="AF29" s="621"/>
      <c r="AG29" s="621"/>
      <c r="AH29" s="621"/>
      <c r="AI29" s="621"/>
      <c r="AJ29" s="621"/>
    </row>
    <row r="30" spans="1:36" ht="15" x14ac:dyDescent="0.15">
      <c r="A30" s="257" t="s">
        <v>33</v>
      </c>
      <c r="B30" s="288">
        <f>'Front Page &amp; Raw Test Scores'!D59</f>
        <v>0</v>
      </c>
      <c r="C30" s="268">
        <f>'DNE2'!AB36</f>
        <v>19</v>
      </c>
      <c r="D30" s="266">
        <f t="shared" ref="D30:D39" si="11">_xlfn.NORM.S.DIST(H30,TRUE)</f>
        <v>0.9986501019683699</v>
      </c>
      <c r="E30" s="3" t="str">
        <f>IF(C30&lt;4,"Extremely Low", (IF(AND(C30&gt;=4,C30&lt;6),"Borderline",(IF(AND(C30&gt;=6,C30&lt;8),"Low Average",(IF(AND(C30&gt;=8,C30&lt;12),"Average",(IF(AND(C30&gt;=12,C30&lt;14),"High Average",(IF(AND(C30&gt;=14,C30&lt;16),"Superior","Very Superior")))))))))))</f>
        <v>Very Superior</v>
      </c>
      <c r="F30" s="22">
        <f>C30-$C$6</f>
        <v>8</v>
      </c>
      <c r="G30" s="4">
        <f>H30-$F$6</f>
        <v>2.7906822666666691</v>
      </c>
      <c r="H30" s="267">
        <f>(1/3)*(C30-10)+0</f>
        <v>3</v>
      </c>
      <c r="I30" s="256"/>
      <c r="J30" s="76"/>
      <c r="K30" s="76"/>
      <c r="L30" s="76"/>
      <c r="M30" s="76"/>
      <c r="N30" s="628" t="str">
        <f t="shared" ref="N30:N34" si="12">IF(G30&lt;=-2,"markedly below expected",(IF(AND(G30&gt;=-2,G30&lt;=-1.5),"below expected",(IF(AND(G30&gt;-1.5,G30&lt;-1),"borderline lower than expected",(IF(AND(G30&gt;=-1,G30&lt;=1),"as expected","above expected")))))))</f>
        <v>above expected</v>
      </c>
      <c r="O30" s="76"/>
      <c r="P30" s="76"/>
      <c r="Q30" s="76"/>
      <c r="R30" s="76"/>
      <c r="S30" s="76"/>
      <c r="T30" s="76"/>
      <c r="U30" s="76"/>
      <c r="V30" s="76"/>
      <c r="W30" s="76"/>
      <c r="X30" s="76"/>
      <c r="Y30" s="76"/>
      <c r="Z30" s="621"/>
      <c r="AA30" s="621"/>
      <c r="AB30" s="621"/>
      <c r="AC30" s="621"/>
      <c r="AD30" s="621"/>
      <c r="AE30" s="621"/>
      <c r="AF30" s="621"/>
      <c r="AG30" s="621"/>
      <c r="AH30" s="621"/>
      <c r="AI30" s="621"/>
      <c r="AJ30" s="621"/>
    </row>
    <row r="31" spans="1:36" ht="15" x14ac:dyDescent="0.15">
      <c r="A31" s="257" t="s">
        <v>34</v>
      </c>
      <c r="B31" s="288">
        <f>'Front Page &amp; Raw Test Scores'!D60</f>
        <v>0</v>
      </c>
      <c r="C31" s="268">
        <f>'DNE2'!AI36</f>
        <v>19</v>
      </c>
      <c r="D31" s="266">
        <f t="shared" si="11"/>
        <v>0.9986501019683699</v>
      </c>
      <c r="E31" s="3" t="str">
        <f>IF(C31&lt;4,"Extremely Low", (IF(AND(C31&gt;=4,C31&lt;6),"Borderline",(IF(AND(C31&gt;=6,C31&lt;8),"Low Average",(IF(AND(C31&gt;=8,C31&lt;12),"Average",(IF(AND(C31&gt;=12,C31&lt;14),"High Average",(IF(AND(C31&gt;=14,C31&lt;16),"Superior","Very Superior")))))))))))</f>
        <v>Very Superior</v>
      </c>
      <c r="F31" s="22">
        <f t="shared" ref="F31:F34" si="13">C31-$C$6</f>
        <v>8</v>
      </c>
      <c r="G31" s="4">
        <f>H31-$F$6</f>
        <v>2.7906822666666691</v>
      </c>
      <c r="H31" s="267">
        <f>(1/3)*(C31-10)+0</f>
        <v>3</v>
      </c>
      <c r="I31" s="256"/>
      <c r="J31" s="76"/>
      <c r="K31" s="76"/>
      <c r="L31" s="76"/>
      <c r="M31" s="76"/>
      <c r="N31" s="628" t="str">
        <f t="shared" si="12"/>
        <v>above expected</v>
      </c>
      <c r="O31" s="76"/>
      <c r="P31" s="76"/>
      <c r="Q31" s="76"/>
      <c r="R31" s="76"/>
      <c r="S31" s="76"/>
      <c r="T31" s="76"/>
      <c r="U31" s="76"/>
      <c r="V31" s="76"/>
      <c r="W31" s="76"/>
      <c r="X31" s="76"/>
      <c r="Y31" s="76"/>
      <c r="Z31" s="621"/>
      <c r="AA31" s="621"/>
      <c r="AB31" s="621"/>
      <c r="AC31" s="621"/>
      <c r="AD31" s="621"/>
      <c r="AE31" s="621"/>
      <c r="AF31" s="621"/>
      <c r="AG31" s="621"/>
      <c r="AH31" s="621"/>
      <c r="AI31" s="621"/>
      <c r="AJ31" s="621"/>
    </row>
    <row r="32" spans="1:36" ht="15" x14ac:dyDescent="0.15">
      <c r="A32" s="257" t="s">
        <v>35</v>
      </c>
      <c r="B32" s="288">
        <f>'Front Page &amp; Raw Test Scores'!D61</f>
        <v>0</v>
      </c>
      <c r="C32" s="268">
        <f>'DNE2'!AP36</f>
        <v>18</v>
      </c>
      <c r="D32" s="266">
        <f t="shared" si="11"/>
        <v>0.99616961943241022</v>
      </c>
      <c r="E32" s="3" t="str">
        <f>IF(C32&lt;4,"Extremely Low", (IF(AND(C32&gt;=4,C32&lt;6),"Borderline",(IF(AND(C32&gt;=6,C32&lt;8),"Low Average",(IF(AND(C32&gt;=8,C32&lt;12),"Average",(IF(AND(C32&gt;=12,C32&lt;14),"High Average",(IF(AND(C32&gt;=14,C32&lt;16),"Superior","Very Superior")))))))))))</f>
        <v>Very Superior</v>
      </c>
      <c r="F32" s="22">
        <f t="shared" si="13"/>
        <v>7</v>
      </c>
      <c r="G32" s="4">
        <f>H32-$F$6</f>
        <v>2.4573489333333356</v>
      </c>
      <c r="H32" s="267">
        <f>(1/3)*(C32-10)+0</f>
        <v>2.6666666666666665</v>
      </c>
      <c r="I32" s="256"/>
      <c r="J32" s="76"/>
      <c r="K32" s="76"/>
      <c r="L32" s="76"/>
      <c r="M32" s="76"/>
      <c r="N32" s="628" t="str">
        <f t="shared" si="12"/>
        <v>above expected</v>
      </c>
      <c r="O32" s="76"/>
      <c r="P32" s="76"/>
      <c r="Q32" s="76"/>
      <c r="R32" s="76"/>
      <c r="S32" s="76"/>
      <c r="T32" s="76"/>
      <c r="U32" s="76"/>
      <c r="V32" s="76"/>
      <c r="W32" s="76"/>
      <c r="X32" s="76"/>
      <c r="Y32" s="76"/>
      <c r="Z32" s="621"/>
      <c r="AA32" s="621"/>
      <c r="AB32" s="621"/>
      <c r="AC32" s="621"/>
      <c r="AD32" s="621"/>
      <c r="AE32" s="621"/>
      <c r="AF32" s="621"/>
      <c r="AG32" s="621"/>
      <c r="AH32" s="621"/>
      <c r="AI32" s="621"/>
      <c r="AJ32" s="621"/>
    </row>
    <row r="33" spans="1:36" ht="15" x14ac:dyDescent="0.15">
      <c r="A33" s="257" t="s">
        <v>36</v>
      </c>
      <c r="B33" s="288">
        <f>'Front Page &amp; Raw Test Scores'!D62</f>
        <v>0</v>
      </c>
      <c r="C33" s="268">
        <f>'DNE2'!AW36</f>
        <v>18</v>
      </c>
      <c r="D33" s="266">
        <f t="shared" si="11"/>
        <v>0.99616961943241022</v>
      </c>
      <c r="E33" s="3" t="str">
        <f>IF(C33&lt;4,"Extremely Low", (IF(AND(C33&gt;=4,C33&lt;6),"Borderline",(IF(AND(C33&gt;=6,C33&lt;8),"Low Average",(IF(AND(C33&gt;=8,C33&lt;12),"Average",(IF(AND(C33&gt;=12,C33&lt;14),"High Average",(IF(AND(C33&gt;=14,C33&lt;16),"Superior","Very Superior")))))))))))</f>
        <v>Very Superior</v>
      </c>
      <c r="F33" s="22">
        <f t="shared" si="13"/>
        <v>7</v>
      </c>
      <c r="G33" s="4">
        <f>H33-$F$6</f>
        <v>2.4573489333333356</v>
      </c>
      <c r="H33" s="267">
        <f>(1/3)*(C33-10)+0</f>
        <v>2.6666666666666665</v>
      </c>
      <c r="I33" s="256"/>
      <c r="J33" s="76"/>
      <c r="K33" s="76"/>
      <c r="L33" s="76"/>
      <c r="M33" s="76"/>
      <c r="N33" s="628" t="str">
        <f t="shared" si="12"/>
        <v>above expected</v>
      </c>
      <c r="O33" s="76"/>
      <c r="P33" s="76"/>
      <c r="Q33" s="76"/>
      <c r="R33" s="76"/>
      <c r="S33" s="76"/>
      <c r="T33" s="76"/>
      <c r="U33" s="76"/>
      <c r="V33" s="76"/>
      <c r="W33" s="76"/>
      <c r="X33" s="76"/>
      <c r="Y33" s="76"/>
      <c r="Z33" s="621"/>
      <c r="AA33" s="621"/>
      <c r="AB33" s="621"/>
      <c r="AC33" s="621"/>
      <c r="AD33" s="621"/>
      <c r="AE33" s="621"/>
      <c r="AF33" s="621"/>
      <c r="AG33" s="621"/>
      <c r="AH33" s="621"/>
      <c r="AI33" s="621"/>
      <c r="AJ33" s="621"/>
    </row>
    <row r="34" spans="1:36" ht="15" x14ac:dyDescent="0.15">
      <c r="A34" s="257" t="s">
        <v>37</v>
      </c>
      <c r="B34" s="288">
        <f>'Front Page &amp; Raw Test Scores'!D63</f>
        <v>0</v>
      </c>
      <c r="C34" s="268">
        <f>'DNE2'!BD36</f>
        <v>16</v>
      </c>
      <c r="D34" s="266">
        <f t="shared" si="11"/>
        <v>0.97724986805182079</v>
      </c>
      <c r="E34" s="3" t="str">
        <f>IF(C34&lt;4,"Extremely Low", (IF(AND(C34&gt;=4,C34&lt;6),"Borderline",(IF(AND(C34&gt;=6,C34&lt;8),"Low Average",(IF(AND(C34&gt;=8,C34&lt;12),"Average",(IF(AND(C34&gt;=12,C34&lt;14),"High Average",(IF(AND(C34&gt;=14,C34&lt;16),"Superior","Very Superior")))))))))))</f>
        <v>Very Superior</v>
      </c>
      <c r="F34" s="22">
        <f t="shared" si="13"/>
        <v>5</v>
      </c>
      <c r="G34" s="4">
        <f>H34-$F$6</f>
        <v>1.7906822666666689</v>
      </c>
      <c r="H34" s="267">
        <f>(1/3)*(C34-10)+0</f>
        <v>2</v>
      </c>
      <c r="I34" s="256"/>
      <c r="J34" s="76" t="s">
        <v>673</v>
      </c>
      <c r="K34" s="76"/>
      <c r="L34" s="76"/>
      <c r="M34" s="76"/>
      <c r="N34" s="628" t="str">
        <f t="shared" si="12"/>
        <v>above expected</v>
      </c>
      <c r="O34" s="76"/>
      <c r="P34" s="76"/>
      <c r="Q34" s="76"/>
      <c r="R34" s="76"/>
      <c r="S34" s="76"/>
      <c r="T34" s="76"/>
      <c r="U34" s="76"/>
      <c r="V34" s="76"/>
      <c r="W34" s="76"/>
      <c r="X34" s="76"/>
      <c r="Y34" s="76"/>
      <c r="Z34" s="621"/>
      <c r="AA34" s="621"/>
      <c r="AB34" s="621"/>
      <c r="AC34" s="621"/>
      <c r="AD34" s="621"/>
      <c r="AE34" s="621"/>
      <c r="AF34" s="621"/>
      <c r="AG34" s="621"/>
      <c r="AH34" s="621"/>
      <c r="AI34" s="621"/>
      <c r="AJ34" s="621"/>
    </row>
    <row r="35" spans="1:36" ht="30" x14ac:dyDescent="0.15">
      <c r="A35" s="280" t="s">
        <v>38</v>
      </c>
      <c r="B35" s="277" t="s">
        <v>45</v>
      </c>
      <c r="C35" s="278" t="s">
        <v>40</v>
      </c>
      <c r="D35" s="278" t="s">
        <v>41</v>
      </c>
      <c r="E35" s="278" t="s">
        <v>4</v>
      </c>
      <c r="F35" s="279" t="s">
        <v>10</v>
      </c>
      <c r="G35" s="279" t="s">
        <v>474</v>
      </c>
      <c r="H35" s="256"/>
      <c r="I35" s="256"/>
      <c r="J35" s="650" t="s">
        <v>672</v>
      </c>
      <c r="K35" s="650" t="s">
        <v>670</v>
      </c>
      <c r="L35" s="650" t="s">
        <v>671</v>
      </c>
      <c r="M35" s="650" t="s">
        <v>29</v>
      </c>
      <c r="N35" s="76"/>
      <c r="O35" s="76"/>
      <c r="P35" s="76"/>
      <c r="Q35" s="76"/>
      <c r="R35" s="76"/>
      <c r="S35" s="76"/>
      <c r="T35" s="76"/>
      <c r="U35" s="76"/>
      <c r="V35" s="76"/>
      <c r="W35" s="76"/>
      <c r="X35" s="76"/>
      <c r="Y35" s="76"/>
      <c r="Z35" s="621"/>
      <c r="AA35" s="621"/>
      <c r="AB35" s="621"/>
      <c r="AC35" s="621"/>
      <c r="AD35" s="621"/>
      <c r="AE35" s="621"/>
      <c r="AF35" s="621"/>
      <c r="AG35" s="621"/>
      <c r="AH35" s="621"/>
      <c r="AI35" s="621"/>
      <c r="AJ35" s="621"/>
    </row>
    <row r="36" spans="1:36" ht="15" x14ac:dyDescent="0.15">
      <c r="A36" s="257" t="s">
        <v>190</v>
      </c>
      <c r="B36" s="288">
        <f>'Front Page &amp; Raw Test Scores'!D50</f>
        <v>0</v>
      </c>
      <c r="C36" s="268">
        <f>INDEX('DNE2'!B3:F78,MATCH('Standard Tests'!B36,'DNE2'!A3:A78,0),MATCH('DNE2'!C1,'DNE2'!B2:F2,0))</f>
        <v>1</v>
      </c>
      <c r="D36" s="266">
        <f t="shared" si="11"/>
        <v>1.3498980316300933E-3</v>
      </c>
      <c r="E36" s="3" t="str">
        <f>IF(C36&lt;4,"Extremely Low", (IF(AND(C36&gt;=4,C36&lt;6),"Borderline",(IF(AND(C36&gt;=6,C36&lt;8),"Low Average",(IF(AND(C36&gt;=8,C36&lt;12),"Average",(IF(AND(C36&gt;=12,C36&lt;14),"High Average",(IF(AND(C36&gt;=14,C36&lt;16),"Superior","Very Superior")))))))))))</f>
        <v>Extremely Low</v>
      </c>
      <c r="F36" s="22">
        <f t="shared" ref="F36:F39" si="14">C36-$C$6</f>
        <v>-10</v>
      </c>
      <c r="G36" s="4">
        <f>H36-$F$6</f>
        <v>-3.2093177333333309</v>
      </c>
      <c r="H36" s="267">
        <f>(1/3)*(C36-10)+0</f>
        <v>-3</v>
      </c>
      <c r="I36" s="256"/>
      <c r="J36" s="100">
        <f>'Front Page &amp; Raw Test Scores'!J50</f>
        <v>0</v>
      </c>
      <c r="K36" s="100">
        <f>'Front Page &amp; Raw Test Scores'!L50</f>
        <v>0</v>
      </c>
      <c r="L36" s="100">
        <f>'Front Page &amp; Raw Test Scores'!N50</f>
        <v>0</v>
      </c>
      <c r="M36" s="96">
        <f>SUM(J36:L36)</f>
        <v>0</v>
      </c>
      <c r="N36" s="628" t="str">
        <f t="shared" ref="N36:N39" si="15">IF(G36&lt;=-2,"markedly below expected",(IF(AND(G36&gt;=-2,G36&lt;=-1.5),"below expected",(IF(AND(G36&gt;-1.5,G36&lt;-1),"borderline lower than expected",(IF(AND(G36&gt;=-1,G36&lt;=1),"as expected","above expected")))))))</f>
        <v>markedly below expected</v>
      </c>
      <c r="O36" s="76"/>
      <c r="P36" s="76"/>
      <c r="Q36" s="76"/>
      <c r="R36" s="76"/>
      <c r="S36" s="76"/>
      <c r="T36" s="76"/>
      <c r="U36" s="76"/>
      <c r="V36" s="76"/>
      <c r="W36" s="76"/>
      <c r="X36" s="76"/>
      <c r="Y36" s="76"/>
      <c r="Z36" s="621"/>
      <c r="AA36" s="621"/>
      <c r="AB36" s="621"/>
      <c r="AC36" s="621"/>
      <c r="AD36" s="621"/>
      <c r="AE36" s="621"/>
      <c r="AF36" s="621"/>
      <c r="AG36" s="621"/>
      <c r="AH36" s="621"/>
      <c r="AI36" s="621"/>
      <c r="AJ36" s="621"/>
    </row>
    <row r="37" spans="1:36" ht="15" x14ac:dyDescent="0.15">
      <c r="A37" s="257" t="s">
        <v>191</v>
      </c>
      <c r="B37" s="288">
        <f>'Front Page &amp; Raw Test Scores'!D52</f>
        <v>0</v>
      </c>
      <c r="C37" s="268">
        <f>INDEX('DNE2'!I3:M78,MATCH('Standard Tests'!B37,'DNE2'!H3:H78,0),MATCH('DNE2'!C1,'DNE2'!I2:M2,0))</f>
        <v>1</v>
      </c>
      <c r="D37" s="266">
        <f t="shared" si="11"/>
        <v>1.3498980316300933E-3</v>
      </c>
      <c r="E37" s="3" t="str">
        <f>IF(C37&lt;4,"Extremely Low", (IF(AND(C37&gt;=4,C37&lt;6),"Borderline",(IF(AND(C37&gt;=6,C37&lt;8),"Low Average",(IF(AND(C37&gt;=8,C37&lt;12),"Average",(IF(AND(C37&gt;=12,C37&lt;14),"High Average",(IF(AND(C37&gt;=14,C37&lt;16),"Superior","Very Superior")))))))))))</f>
        <v>Extremely Low</v>
      </c>
      <c r="F37" s="22">
        <f t="shared" si="14"/>
        <v>-10</v>
      </c>
      <c r="G37" s="4">
        <f>H37-$F$6</f>
        <v>-3.2093177333333309</v>
      </c>
      <c r="H37" s="267">
        <f>(1/3)*(C37-10)+0</f>
        <v>-3</v>
      </c>
      <c r="I37" s="256"/>
      <c r="J37" s="100">
        <f>'Front Page &amp; Raw Test Scores'!J52</f>
        <v>0</v>
      </c>
      <c r="K37" s="100">
        <f>'Front Page &amp; Raw Test Scores'!L52</f>
        <v>0</v>
      </c>
      <c r="L37" s="100">
        <f>'Front Page &amp; Raw Test Scores'!N52</f>
        <v>0</v>
      </c>
      <c r="M37" s="96">
        <f>SUM(J37:L37)</f>
        <v>0</v>
      </c>
      <c r="N37" s="628" t="str">
        <f t="shared" si="15"/>
        <v>markedly below expected</v>
      </c>
      <c r="O37" s="76"/>
      <c r="P37" s="76"/>
      <c r="Q37" s="76"/>
      <c r="R37" s="76"/>
      <c r="S37" s="76"/>
      <c r="T37" s="76"/>
      <c r="U37" s="76"/>
      <c r="V37" s="76"/>
      <c r="W37" s="76"/>
      <c r="X37" s="76"/>
      <c r="Y37" s="76"/>
      <c r="Z37" s="621"/>
      <c r="AA37" s="621"/>
      <c r="AB37" s="621"/>
      <c r="AC37" s="621"/>
      <c r="AD37" s="621"/>
      <c r="AE37" s="621"/>
      <c r="AF37" s="621"/>
      <c r="AG37" s="621"/>
      <c r="AH37" s="621"/>
      <c r="AI37" s="621"/>
      <c r="AJ37" s="621"/>
    </row>
    <row r="38" spans="1:36" ht="15" x14ac:dyDescent="0.15">
      <c r="A38" s="257" t="s">
        <v>192</v>
      </c>
      <c r="B38" s="288">
        <f>'Front Page &amp; Raw Test Scores'!D54</f>
        <v>0</v>
      </c>
      <c r="C38" s="268">
        <f>INDEX('DNE2'!P3:T28,MATCH('Standard Tests'!B38,'DNE2'!O3:O28,0),MATCH('DNE2'!C1,'DNE2'!P2:T2,0))</f>
        <v>1</v>
      </c>
      <c r="D38" s="266">
        <f t="shared" si="11"/>
        <v>1.3498980316300933E-3</v>
      </c>
      <c r="E38" s="3" t="str">
        <f>IF(C38&lt;4,"Extremely Low", (IF(AND(C38&gt;=4,C38&lt;6),"Borderline",(IF(AND(C38&gt;=6,C38&lt;8),"Low Average",(IF(AND(C38&gt;=8,C38&lt;12),"Average",(IF(AND(C38&gt;=12,C38&lt;14),"High Average",(IF(AND(C38&gt;=14,C38&lt;16),"Superior","Very Superior")))))))))))</f>
        <v>Extremely Low</v>
      </c>
      <c r="F38" s="22">
        <f t="shared" si="14"/>
        <v>-10</v>
      </c>
      <c r="G38" s="4">
        <f>H38-$F$6</f>
        <v>-3.2093177333333309</v>
      </c>
      <c r="H38" s="267">
        <f>(1/3)*(C38-10)+0</f>
        <v>-3</v>
      </c>
      <c r="I38" s="281"/>
      <c r="J38" s="100">
        <f>'Front Page &amp; Raw Test Scores'!J54</f>
        <v>0</v>
      </c>
      <c r="K38" s="100">
        <f>'Front Page &amp; Raw Test Scores'!L54</f>
        <v>0</v>
      </c>
      <c r="L38" s="100">
        <f>'Front Page &amp; Raw Test Scores'!N54</f>
        <v>0</v>
      </c>
      <c r="M38" s="96">
        <f>SUM(J38:L38)</f>
        <v>0</v>
      </c>
      <c r="N38" s="628" t="str">
        <f t="shared" si="15"/>
        <v>markedly below expected</v>
      </c>
      <c r="O38" s="76"/>
      <c r="P38" s="76"/>
      <c r="Q38" s="76"/>
      <c r="R38" s="76"/>
      <c r="S38" s="76"/>
      <c r="T38" s="76"/>
      <c r="U38" s="76"/>
      <c r="V38" s="76"/>
      <c r="W38" s="76"/>
      <c r="X38" s="76"/>
      <c r="Y38" s="76"/>
      <c r="Z38" s="621"/>
      <c r="AA38" s="621"/>
      <c r="AB38" s="621"/>
      <c r="AC38" s="621"/>
      <c r="AD38" s="621"/>
      <c r="AE38" s="621"/>
      <c r="AF38" s="621"/>
      <c r="AG38" s="621"/>
      <c r="AH38" s="621"/>
      <c r="AI38" s="621"/>
      <c r="AJ38" s="621"/>
    </row>
    <row r="39" spans="1:36" ht="15" x14ac:dyDescent="0.15">
      <c r="A39" s="257" t="s">
        <v>173</v>
      </c>
      <c r="B39" s="288">
        <f>'Front Page &amp; Raw Test Scores'!D55</f>
        <v>0</v>
      </c>
      <c r="C39" s="268">
        <f>INDEX('DNE2'!W3:AA28,MATCH('Standard Tests'!B39,'DNE2'!V3:V28,0),MATCH('DNE2'!C1,'DNE2'!W2:AA2,0))</f>
        <v>1</v>
      </c>
      <c r="D39" s="266">
        <f t="shared" si="11"/>
        <v>1.3498980316300933E-3</v>
      </c>
      <c r="E39" s="3" t="str">
        <f>IF(C39&lt;4,"Extremely Low", (IF(AND(C39&gt;=4,C39&lt;6),"Borderline",(IF(AND(C39&gt;=6,C39&lt;8),"Low Average",(IF(AND(C39&gt;=8,C39&lt;12),"Average",(IF(AND(C39&gt;=12,C39&lt;14),"High Average",(IF(AND(C39&gt;=14,C39&lt;16),"Superior","Very Superior")))))))))))</f>
        <v>Extremely Low</v>
      </c>
      <c r="F39" s="22">
        <f t="shared" si="14"/>
        <v>-10</v>
      </c>
      <c r="G39" s="4">
        <f>H39-$F$6</f>
        <v>-3.2093177333333309</v>
      </c>
      <c r="H39" s="267">
        <f>(1/3)*(C39-10)+0</f>
        <v>-3</v>
      </c>
      <c r="I39" s="281" t="s">
        <v>29</v>
      </c>
      <c r="J39" s="736">
        <f>SUM(J36:J38)</f>
        <v>0</v>
      </c>
      <c r="K39" s="736">
        <f>SUM(K36:K38)</f>
        <v>0</v>
      </c>
      <c r="L39" s="736">
        <f>SUM(L36:L38)</f>
        <v>0</v>
      </c>
      <c r="M39" s="736">
        <f>SUM(J39:L39)</f>
        <v>0</v>
      </c>
      <c r="N39" s="628" t="str">
        <f t="shared" si="15"/>
        <v>markedly below expected</v>
      </c>
      <c r="O39" s="76"/>
      <c r="P39" s="76"/>
      <c r="Q39" s="76"/>
      <c r="R39" s="76"/>
      <c r="S39" s="76"/>
      <c r="T39" s="76"/>
      <c r="U39" s="76"/>
      <c r="V39" s="76"/>
      <c r="W39" s="76"/>
      <c r="X39" s="76"/>
      <c r="Y39" s="76"/>
      <c r="Z39" s="621"/>
      <c r="AA39" s="621"/>
      <c r="AB39" s="621"/>
      <c r="AC39" s="621"/>
      <c r="AD39" s="621"/>
      <c r="AE39" s="621"/>
      <c r="AF39" s="621"/>
      <c r="AG39" s="621"/>
      <c r="AH39" s="621"/>
      <c r="AI39" s="621"/>
      <c r="AJ39" s="621"/>
    </row>
    <row r="40" spans="1:36" ht="30" x14ac:dyDescent="0.15">
      <c r="A40" s="282" t="s">
        <v>44</v>
      </c>
      <c r="B40" s="283" t="s">
        <v>180</v>
      </c>
      <c r="C40" s="284" t="s">
        <v>65</v>
      </c>
      <c r="D40" s="285" t="s">
        <v>4</v>
      </c>
      <c r="E40" s="296" t="s">
        <v>40</v>
      </c>
      <c r="F40" s="297" t="s">
        <v>10</v>
      </c>
      <c r="G40" s="297" t="s">
        <v>474</v>
      </c>
      <c r="H40" s="76"/>
      <c r="I40" s="76"/>
      <c r="J40" s="76"/>
      <c r="K40" s="76"/>
      <c r="L40" s="76"/>
      <c r="M40" s="76"/>
      <c r="N40" s="76"/>
      <c r="O40" s="76"/>
      <c r="P40" s="76"/>
      <c r="Q40" s="76"/>
      <c r="R40" s="76"/>
      <c r="S40" s="76"/>
      <c r="T40" s="76"/>
      <c r="U40" s="76"/>
      <c r="V40" s="76"/>
      <c r="W40" s="76"/>
      <c r="X40" s="76"/>
      <c r="Y40" s="76"/>
      <c r="Z40" s="621"/>
      <c r="AA40" s="621"/>
      <c r="AB40" s="621"/>
      <c r="AC40" s="621"/>
      <c r="AD40" s="621"/>
      <c r="AE40" s="621"/>
      <c r="AF40" s="621"/>
      <c r="AG40" s="621"/>
      <c r="AH40" s="621"/>
      <c r="AI40" s="621"/>
      <c r="AJ40" s="621"/>
    </row>
    <row r="41" spans="1:36" ht="15" x14ac:dyDescent="0.15">
      <c r="A41" s="257" t="s">
        <v>174</v>
      </c>
      <c r="B41" s="288">
        <f>'Front Page &amp; Raw Test Scores'!D67</f>
        <v>0</v>
      </c>
      <c r="C41" s="3" t="str">
        <f>IF(B41&gt;=60,"1", (IF(AND(B41&gt;=51,B41&lt;60),"2",(IF(AND(B41&gt;=23,B41&lt;51),"3",(IF(AND(B41&gt;=19,B41&lt;23),"4",(IF(AND(B41&gt;=10,B41&lt;19),"5",(IF(AND(B41&gt;=1,B41&lt;10),"6","7")))))))))))</f>
        <v>7</v>
      </c>
      <c r="D41" s="20" t="str">
        <f>IF(B41&gt;=60,"Impaired", (IF(AND(B41&gt;=51,B41&lt;60),"Abnormal",(IF(AND(B41&gt;=23,B41&lt;51),"Poor",(IF(AND(B41&gt;=19,B41&lt;23),"Low Average",(IF(AND(B41&gt;=10,B41&lt;19),"Mod Average",(IF(AND(B41&gt;=1,B41&lt;10),"Average","High Average")))))))))))</f>
        <v>High Average</v>
      </c>
      <c r="E41" s="286">
        <f>INT((3/2*(C41-5.5))+10)</f>
        <v>12</v>
      </c>
      <c r="F41" s="287">
        <f>E41-$C$6</f>
        <v>1</v>
      </c>
      <c r="G41" s="4">
        <f>H41-$F$6</f>
        <v>0.45734893333333559</v>
      </c>
      <c r="H41" s="267">
        <f>(1/3)*(E41-10)+0</f>
        <v>0.66666666666666663</v>
      </c>
      <c r="I41" s="76"/>
      <c r="J41" s="76"/>
      <c r="K41" s="76"/>
      <c r="L41" s="76"/>
      <c r="M41" s="76"/>
      <c r="N41" s="628" t="str">
        <f t="shared" ref="N41:N43" si="16">IF(G41&lt;=-2,"markedly below expected",(IF(AND(G41&gt;=-2,G41&lt;=-1.5),"below expected",(IF(AND(G41&gt;-1.5,G41&lt;-1),"borderline lower than expected",(IF(AND(G41&gt;=-1,G41&lt;=1),"as expected","above expected")))))))</f>
        <v>as expected</v>
      </c>
      <c r="O41" s="76"/>
      <c r="P41" s="76"/>
      <c r="Q41" s="76"/>
      <c r="R41" s="76"/>
      <c r="S41" s="76"/>
      <c r="T41" s="76"/>
      <c r="U41" s="76"/>
      <c r="V41" s="76"/>
      <c r="W41" s="76"/>
      <c r="X41" s="76"/>
      <c r="Y41" s="76"/>
      <c r="Z41" s="621"/>
      <c r="AA41" s="621"/>
      <c r="AB41" s="621"/>
      <c r="AC41" s="621"/>
      <c r="AD41" s="621"/>
      <c r="AE41" s="621"/>
      <c r="AF41" s="621"/>
      <c r="AG41" s="621"/>
      <c r="AH41" s="621"/>
      <c r="AI41" s="621"/>
      <c r="AJ41" s="621"/>
    </row>
    <row r="42" spans="1:36" ht="15" x14ac:dyDescent="0.15">
      <c r="A42" s="257" t="s">
        <v>175</v>
      </c>
      <c r="B42" s="288">
        <f>'Front Page &amp; Raw Test Scores'!D68</f>
        <v>0</v>
      </c>
      <c r="C42" s="3" t="str">
        <f>IF(B42&gt;=131,"1", (IF(AND(B42&gt;=121,B42&lt;131),"2",(IF(AND(B42&gt;=101,B42&lt;121),"3",(IF(AND(B42&gt;=61,B42&lt;101),"4",(IF(AND(B42&gt;=51,B42&lt;61),"5",(IF(AND(B42&gt;=3,B42&lt;51),"6",(IF(AND(B42&gt;=1,B42&lt;3),"7","8")))))))))))))</f>
        <v>8</v>
      </c>
      <c r="D42" s="20" t="str">
        <f>IF(B42&gt;=131,"Impaired", (IF(AND(B42&gt;=121,B42&lt;131),"Abnormal",(IF(AND(B42&gt;=101,B42&lt;121),"Poor",(IF(AND(B42&gt;=61,B42&lt;101),"Low Average",(IF(AND(B42&gt;=51,B42&lt;61),"Mod Average",(IF(AND(B42&gt;=3,B42&lt;51),"Average",(IF(AND(B42&gt;=1,B42&lt;3),"High Average","Good")))))))))))))</f>
        <v>Good</v>
      </c>
      <c r="E42" s="286">
        <f>INT((3/2*(C42-5.5))+10)</f>
        <v>13</v>
      </c>
      <c r="F42" s="287">
        <f>E42-$C$6</f>
        <v>2</v>
      </c>
      <c r="G42" s="4">
        <f>H42-$F$6</f>
        <v>0.79068226666666896</v>
      </c>
      <c r="H42" s="267">
        <f>(1/3)*(E42-10)+0</f>
        <v>1</v>
      </c>
      <c r="I42" s="76"/>
      <c r="J42" s="76"/>
      <c r="K42" s="76"/>
      <c r="L42" s="76"/>
      <c r="M42" s="76"/>
      <c r="N42" s="628" t="str">
        <f t="shared" si="16"/>
        <v>as expected</v>
      </c>
      <c r="O42" s="76"/>
      <c r="P42" s="76"/>
      <c r="Q42" s="76"/>
      <c r="R42" s="76"/>
      <c r="S42" s="76"/>
      <c r="T42" s="76"/>
      <c r="U42" s="76"/>
      <c r="V42" s="76"/>
      <c r="W42" s="76"/>
      <c r="X42" s="76"/>
      <c r="Y42" s="76"/>
      <c r="Z42" s="621"/>
      <c r="AA42" s="621"/>
      <c r="AB42" s="621"/>
      <c r="AC42" s="621"/>
      <c r="AD42" s="621"/>
      <c r="AE42" s="621"/>
      <c r="AF42" s="621"/>
      <c r="AG42" s="621"/>
      <c r="AH42" s="621"/>
      <c r="AI42" s="621"/>
      <c r="AJ42" s="621"/>
    </row>
    <row r="43" spans="1:36" ht="15" x14ac:dyDescent="0.15">
      <c r="A43" s="257" t="s">
        <v>185</v>
      </c>
      <c r="B43" s="288"/>
      <c r="C43" s="3" t="str">
        <f>C48</f>
        <v>8</v>
      </c>
      <c r="D43" s="20" t="str">
        <f>D48</f>
        <v>Good</v>
      </c>
      <c r="E43" s="286">
        <f>INT((3/2*(C43-5.5))+10)</f>
        <v>13</v>
      </c>
      <c r="F43" s="287">
        <f>E43-$C$6</f>
        <v>2</v>
      </c>
      <c r="G43" s="4">
        <f>H43-$F$6</f>
        <v>0.79068226666666896</v>
      </c>
      <c r="H43" s="267">
        <f>(1/3)*(E43-10)+0</f>
        <v>1</v>
      </c>
      <c r="I43" s="76"/>
      <c r="J43" s="76"/>
      <c r="K43" s="76"/>
      <c r="L43" s="76"/>
      <c r="M43" s="76"/>
      <c r="N43" s="628" t="str">
        <f t="shared" si="16"/>
        <v>as expected</v>
      </c>
      <c r="O43" s="76"/>
      <c r="P43" s="76"/>
      <c r="Q43" s="76"/>
      <c r="R43" s="76"/>
      <c r="S43" s="76"/>
      <c r="T43" s="76"/>
      <c r="U43" s="76"/>
      <c r="V43" s="76"/>
      <c r="W43" s="76"/>
      <c r="X43" s="76"/>
      <c r="Y43" s="76"/>
      <c r="Z43" s="621"/>
      <c r="AA43" s="621"/>
      <c r="AB43" s="621"/>
      <c r="AC43" s="621"/>
      <c r="AD43" s="621"/>
      <c r="AE43" s="621"/>
      <c r="AF43" s="621"/>
      <c r="AG43" s="621"/>
      <c r="AH43" s="621"/>
      <c r="AI43" s="621"/>
      <c r="AJ43" s="621"/>
    </row>
    <row r="44" spans="1:36" ht="15" x14ac:dyDescent="0.15">
      <c r="A44" s="257"/>
      <c r="B44" s="283" t="s">
        <v>45</v>
      </c>
      <c r="C44" s="300" t="s">
        <v>46</v>
      </c>
      <c r="D44" s="21" t="s">
        <v>47</v>
      </c>
      <c r="E44" s="76"/>
      <c r="F44" s="76"/>
      <c r="G44" s="76"/>
      <c r="H44" s="76"/>
      <c r="I44" s="76"/>
      <c r="J44" s="76"/>
      <c r="K44" s="76"/>
      <c r="L44" s="76"/>
      <c r="M44" s="76"/>
      <c r="N44" s="76"/>
      <c r="O44" s="76"/>
      <c r="P44" s="76"/>
      <c r="Q44" s="76"/>
      <c r="R44" s="76"/>
      <c r="S44" s="76"/>
      <c r="T44" s="76"/>
      <c r="U44" s="76"/>
      <c r="V44" s="76"/>
      <c r="W44" s="76"/>
      <c r="X44" s="76"/>
      <c r="Y44" s="76"/>
      <c r="Z44" s="621"/>
      <c r="AA44" s="621"/>
      <c r="AB44" s="621"/>
      <c r="AC44" s="621"/>
      <c r="AD44" s="621"/>
      <c r="AE44" s="621"/>
      <c r="AF44" s="621"/>
      <c r="AG44" s="621"/>
      <c r="AH44" s="621"/>
      <c r="AI44" s="621"/>
      <c r="AJ44" s="621"/>
    </row>
    <row r="45" spans="1:36" ht="15" x14ac:dyDescent="0.15">
      <c r="A45" s="257" t="s">
        <v>48</v>
      </c>
      <c r="B45" s="288">
        <f>'Front Page &amp; Raw Test Scores'!D70</f>
        <v>0</v>
      </c>
      <c r="C45" s="289">
        <f>VLOOKUP(B45,'Do Not Edit'!L3:M18,2)</f>
        <v>0</v>
      </c>
      <c r="D45" s="290">
        <f>VLOOKUP(B46,'Do Not Edit'!N3:O18,2)</f>
        <v>0</v>
      </c>
      <c r="E45" s="76"/>
      <c r="F45" s="76"/>
      <c r="G45" s="76"/>
      <c r="H45" s="76"/>
      <c r="I45" s="76"/>
      <c r="J45" s="76"/>
      <c r="K45" s="76"/>
      <c r="L45" s="76"/>
      <c r="M45" s="76"/>
      <c r="N45" s="76"/>
      <c r="O45" s="76"/>
      <c r="P45" s="76"/>
      <c r="Q45" s="76"/>
      <c r="R45" s="76"/>
      <c r="S45" s="76"/>
      <c r="T45" s="76"/>
      <c r="U45" s="76"/>
      <c r="V45" s="76"/>
      <c r="W45" s="76"/>
      <c r="X45" s="76"/>
      <c r="Y45" s="76"/>
      <c r="Z45" s="621"/>
      <c r="AA45" s="621"/>
      <c r="AB45" s="621"/>
      <c r="AC45" s="621"/>
      <c r="AD45" s="621"/>
      <c r="AE45" s="621"/>
      <c r="AF45" s="621"/>
      <c r="AG45" s="621"/>
      <c r="AH45" s="621"/>
      <c r="AI45" s="621"/>
      <c r="AJ45" s="621"/>
    </row>
    <row r="46" spans="1:36" ht="15" x14ac:dyDescent="0.15">
      <c r="A46" s="257" t="s">
        <v>176</v>
      </c>
      <c r="B46" s="288">
        <f>'Front Page &amp; Raw Test Scores'!D71</f>
        <v>0</v>
      </c>
      <c r="C46" s="256" t="s">
        <v>49</v>
      </c>
      <c r="D46" s="290" t="s">
        <v>4</v>
      </c>
      <c r="E46" s="76"/>
      <c r="F46" s="76"/>
      <c r="G46" s="76"/>
      <c r="H46" s="76"/>
      <c r="I46" s="76"/>
      <c r="J46" s="76"/>
      <c r="K46" s="76"/>
      <c r="L46" s="76"/>
      <c r="M46" s="76"/>
      <c r="N46" s="76"/>
      <c r="O46" s="76"/>
      <c r="P46" s="76"/>
      <c r="Q46" s="76"/>
      <c r="R46" s="76"/>
      <c r="S46" s="76"/>
      <c r="T46" s="76"/>
      <c r="U46" s="76"/>
      <c r="V46" s="76"/>
      <c r="W46" s="76"/>
      <c r="X46" s="76"/>
      <c r="Y46" s="76"/>
      <c r="Z46" s="621"/>
      <c r="AA46" s="621"/>
      <c r="AB46" s="621"/>
      <c r="AC46" s="621"/>
      <c r="AD46" s="621"/>
      <c r="AE46" s="621"/>
      <c r="AF46" s="621"/>
      <c r="AG46" s="621"/>
      <c r="AH46" s="621"/>
      <c r="AI46" s="621"/>
      <c r="AJ46" s="621"/>
    </row>
    <row r="47" spans="1:36" ht="32.5" customHeight="1" x14ac:dyDescent="0.15">
      <c r="A47" s="257"/>
      <c r="B47" s="289" t="s">
        <v>50</v>
      </c>
      <c r="C47" s="289">
        <f>C45+D45</f>
        <v>0</v>
      </c>
      <c r="D47" s="269" t="s">
        <v>42</v>
      </c>
      <c r="E47" s="76"/>
      <c r="F47" s="76"/>
      <c r="G47" s="76"/>
      <c r="H47" s="76"/>
      <c r="I47" s="76"/>
      <c r="J47" s="76"/>
      <c r="K47" s="76"/>
      <c r="L47" s="76"/>
      <c r="M47" s="76"/>
      <c r="N47" s="76"/>
      <c r="O47" s="76"/>
      <c r="P47" s="76"/>
      <c r="Q47" s="76"/>
      <c r="R47" s="76"/>
      <c r="S47" s="76"/>
      <c r="T47" s="76"/>
      <c r="U47" s="76"/>
      <c r="V47" s="76"/>
      <c r="W47" s="76"/>
      <c r="X47" s="76"/>
      <c r="Y47" s="76"/>
      <c r="Z47" s="621"/>
      <c r="AA47" s="621"/>
      <c r="AB47" s="621"/>
      <c r="AC47" s="621"/>
      <c r="AD47" s="621"/>
      <c r="AE47" s="621"/>
      <c r="AF47" s="621"/>
      <c r="AG47" s="621"/>
      <c r="AH47" s="621"/>
      <c r="AI47" s="621"/>
      <c r="AJ47" s="621"/>
    </row>
    <row r="48" spans="1:36" ht="32.5" customHeight="1" x14ac:dyDescent="0.15">
      <c r="A48" s="257"/>
      <c r="B48" s="289" t="s">
        <v>51</v>
      </c>
      <c r="C48" s="291" t="str">
        <f>IF(C47&gt;=30,"1", (IF(AND(C47&gt;=18,C47&lt;30),"2",(IF(AND(C47&gt;=15,C47&lt;18),"3",(IF(AND(C47&gt;=13,C47&lt;15),"4",(IF(AND(C47&gt;=10,C47&lt;13),"5",(IF(AND(C47&gt;=4,C47&lt;10),"6",(IF(AND(C47&gt;=1,C47&lt;4),"7",(IF(C47=0,"8","Null")))))))))))))))</f>
        <v>8</v>
      </c>
      <c r="D48" s="298" t="str">
        <f>IF(C47&gt;=30,"Impaired", (IF(AND(C47&gt;=18,C47&lt;30),"Abnormal",(IF(AND(C47&gt;=15,C47&lt;18),"Poor",(IF(AND(C47&gt;=13,C47&lt;15),"Low Average",(IF(AND(C47&gt;=10,C47&lt;13),"Mod Average",(IF(AND(C47&gt;=4,C47&lt;10),"Average",(IF(AND(C47&gt;=1,C47&lt;4),"High Average","Good")))))))))))))</f>
        <v>Good</v>
      </c>
      <c r="E48" s="76"/>
      <c r="F48" s="76"/>
      <c r="G48" s="76"/>
      <c r="H48" s="76"/>
      <c r="I48" s="76"/>
      <c r="J48" s="76"/>
      <c r="K48" s="76"/>
      <c r="L48" s="76"/>
      <c r="M48" s="76"/>
      <c r="N48" s="76"/>
      <c r="O48" s="76"/>
      <c r="P48" s="76"/>
      <c r="Q48" s="76"/>
      <c r="R48" s="76"/>
      <c r="S48" s="76"/>
      <c r="T48" s="76"/>
      <c r="U48" s="76"/>
      <c r="V48" s="76"/>
      <c r="W48" s="76"/>
      <c r="X48" s="76"/>
      <c r="Y48" s="76"/>
      <c r="Z48" s="621"/>
      <c r="AA48" s="621"/>
      <c r="AB48" s="621"/>
      <c r="AC48" s="621"/>
      <c r="AD48" s="621"/>
      <c r="AE48" s="621"/>
      <c r="AF48" s="621"/>
      <c r="AG48" s="621"/>
      <c r="AH48" s="621"/>
      <c r="AI48" s="621"/>
      <c r="AJ48" s="621"/>
    </row>
    <row r="49" spans="1:36" ht="32.5" customHeight="1" x14ac:dyDescent="0.15">
      <c r="A49" s="257" t="s">
        <v>52</v>
      </c>
      <c r="B49" s="290" t="s">
        <v>53</v>
      </c>
      <c r="C49" s="299">
        <f>C41+C42+C43</f>
        <v>23</v>
      </c>
      <c r="D49" s="858" t="s">
        <v>54</v>
      </c>
      <c r="E49" s="858"/>
      <c r="F49" s="76"/>
      <c r="G49" s="76"/>
      <c r="H49" s="76"/>
      <c r="I49" s="76"/>
      <c r="J49" s="76"/>
      <c r="K49" s="76"/>
      <c r="L49" s="76"/>
      <c r="M49" s="76"/>
      <c r="N49" s="76"/>
      <c r="O49" s="76"/>
      <c r="P49" s="76"/>
      <c r="Q49" s="76"/>
      <c r="R49" s="76"/>
      <c r="S49" s="76"/>
      <c r="T49" s="76"/>
      <c r="U49" s="76"/>
      <c r="V49" s="76"/>
      <c r="W49" s="76"/>
      <c r="X49" s="76"/>
      <c r="Y49" s="76"/>
      <c r="Z49" s="621"/>
      <c r="AA49" s="621"/>
      <c r="AB49" s="621"/>
      <c r="AC49" s="621"/>
      <c r="AD49" s="621"/>
      <c r="AE49" s="621"/>
      <c r="AF49" s="621"/>
      <c r="AG49" s="621"/>
      <c r="AH49" s="621"/>
      <c r="AI49" s="621"/>
      <c r="AJ49" s="621"/>
    </row>
    <row r="50" spans="1:36" ht="30" x14ac:dyDescent="0.15">
      <c r="A50" s="257"/>
      <c r="B50" s="284" t="s">
        <v>65</v>
      </c>
      <c r="C50" s="856" t="s">
        <v>4</v>
      </c>
      <c r="D50" s="857"/>
      <c r="E50" s="296" t="s">
        <v>40</v>
      </c>
      <c r="F50" s="297" t="s">
        <v>10</v>
      </c>
      <c r="G50" s="297" t="s">
        <v>474</v>
      </c>
      <c r="H50" s="76"/>
      <c r="I50" s="76"/>
      <c r="J50" s="76"/>
      <c r="K50" s="76"/>
      <c r="L50" s="76"/>
      <c r="M50" s="76"/>
      <c r="N50" s="76"/>
      <c r="O50" s="76"/>
      <c r="P50" s="76"/>
      <c r="Q50" s="76"/>
      <c r="R50" s="76"/>
      <c r="S50" s="76"/>
      <c r="T50" s="76"/>
      <c r="U50" s="76"/>
      <c r="V50" s="76"/>
      <c r="W50" s="76"/>
      <c r="X50" s="76"/>
      <c r="Y50" s="76"/>
      <c r="Z50" s="621"/>
      <c r="AA50" s="621"/>
      <c r="AB50" s="621"/>
      <c r="AC50" s="621"/>
      <c r="AD50" s="621"/>
      <c r="AE50" s="621"/>
      <c r="AF50" s="621"/>
      <c r="AG50" s="621"/>
      <c r="AH50" s="621"/>
      <c r="AI50" s="621"/>
      <c r="AJ50" s="621"/>
    </row>
    <row r="51" spans="1:36" ht="15" x14ac:dyDescent="0.15">
      <c r="A51" s="292" t="s">
        <v>55</v>
      </c>
      <c r="B51" s="288" t="str">
        <f>IF(C49&lt;10,"1", (IF(C49=10,"2",(IF(AND(C49&gt;=11,C49&lt;13),"3",(IF(AND(C49&gt;=13,C49&lt;15),"4",(IF(AND(C49&gt;=15,C49&lt;17),"5",(IF(AND(C49&gt;=17,C49&lt;20),"6",(IF(C49=20,"7",(IF(C49=21,"8",(IF(C49=22,"9",(IF(C49=23,"10","Null")))))))))))))))))))</f>
        <v>10</v>
      </c>
      <c r="C51" s="854" t="str">
        <f>IF(C49&lt;10,"Impaired", (IF(C49=10,"Abnormal",(IF(AND(C49&gt;=11,C49&lt;13),"Poor",(IF(AND(C49&gt;=13,C49&lt;15),"Low Average",(IF(AND(C49&gt;=15,C49&lt;17),"Moderate Average",(IF(AND(C49&gt;=17,C49&lt;20),"Average",(IF(C49=20,"High Average",(IF(C49=21,"Good",(IF(C49=22,"Superior",(IF(C49=23,"Very Superior","Null")))))))))))))))))))</f>
        <v>Very Superior</v>
      </c>
      <c r="D51" s="855"/>
      <c r="E51" s="293">
        <f>INT((3/2*(B51-5.5))+10)</f>
        <v>16</v>
      </c>
      <c r="F51" s="294">
        <f>E51-$C$6</f>
        <v>5</v>
      </c>
      <c r="G51" s="4">
        <f>H51-$F$6</f>
        <v>1.7906822666666689</v>
      </c>
      <c r="H51" s="267">
        <f>(1/3)*(E51-10)+0</f>
        <v>2</v>
      </c>
      <c r="I51" s="76"/>
      <c r="J51" s="76"/>
      <c r="K51" s="76"/>
      <c r="L51" s="76"/>
      <c r="M51" s="76"/>
      <c r="N51" s="628" t="str">
        <f t="shared" ref="N51" si="17">IF(G51&lt;=-2,"markedly below expected",(IF(AND(G51&gt;=-2,G51&lt;=-1.5),"below expected",(IF(AND(G51&gt;-1.5,G51&lt;-1),"borderline lower than expected",(IF(AND(G51&gt;=-1,G51&lt;=1),"as expected","above expected")))))))</f>
        <v>above expected</v>
      </c>
      <c r="O51" s="76"/>
      <c r="P51" s="76"/>
      <c r="Q51" s="76"/>
      <c r="R51" s="76"/>
      <c r="S51" s="76"/>
      <c r="T51" s="76"/>
      <c r="U51" s="76"/>
      <c r="V51" s="76"/>
      <c r="W51" s="76"/>
      <c r="X51" s="76"/>
      <c r="Y51" s="76"/>
      <c r="Z51" s="621"/>
      <c r="AA51" s="621"/>
      <c r="AB51" s="621"/>
      <c r="AC51" s="621"/>
      <c r="AD51" s="621"/>
      <c r="AE51" s="621"/>
      <c r="AF51" s="621"/>
      <c r="AG51" s="621"/>
      <c r="AH51" s="621"/>
      <c r="AI51" s="621"/>
      <c r="AJ51" s="621"/>
    </row>
    <row r="52" spans="1:36" ht="12.75" customHeight="1" x14ac:dyDescent="0.15">
      <c r="A52" s="76"/>
      <c r="B52" s="99"/>
      <c r="C52" s="76"/>
      <c r="D52" s="76"/>
      <c r="E52" s="76"/>
      <c r="F52" s="76"/>
      <c r="G52" s="76"/>
      <c r="H52" s="76"/>
      <c r="I52" s="76"/>
      <c r="J52" s="76"/>
      <c r="K52" s="76"/>
      <c r="L52" s="76"/>
      <c r="M52" s="76"/>
      <c r="N52" s="76"/>
      <c r="O52" s="76"/>
      <c r="P52" s="76"/>
      <c r="Q52" s="76"/>
      <c r="R52" s="76"/>
      <c r="S52" s="76"/>
      <c r="T52" s="76"/>
      <c r="U52" s="76"/>
      <c r="V52" s="76"/>
      <c r="W52" s="76"/>
      <c r="X52" s="76"/>
      <c r="Y52" s="76"/>
      <c r="Z52" s="621"/>
      <c r="AA52" s="621"/>
      <c r="AB52" s="621"/>
      <c r="AC52" s="621"/>
      <c r="AD52" s="621"/>
      <c r="AE52" s="621"/>
      <c r="AF52" s="621"/>
      <c r="AG52" s="621"/>
      <c r="AH52" s="621"/>
      <c r="AI52" s="621"/>
      <c r="AJ52" s="621"/>
    </row>
    <row r="53" spans="1:36" ht="12.75" customHeight="1" x14ac:dyDescent="0.15">
      <c r="A53" s="76"/>
      <c r="B53" s="99"/>
      <c r="C53" s="76"/>
      <c r="D53" s="76"/>
      <c r="E53" s="76"/>
      <c r="F53" s="76"/>
      <c r="G53" s="76"/>
      <c r="H53" s="76"/>
      <c r="I53" s="76"/>
      <c r="J53" s="76"/>
      <c r="K53" s="76"/>
      <c r="L53" s="76"/>
      <c r="M53" s="76"/>
      <c r="N53" s="76"/>
      <c r="O53" s="76"/>
      <c r="P53" s="76"/>
      <c r="Q53" s="76"/>
      <c r="R53" s="76"/>
      <c r="S53" s="76"/>
      <c r="T53" s="76"/>
      <c r="U53" s="76"/>
      <c r="V53" s="76"/>
      <c r="W53" s="76"/>
      <c r="X53" s="76"/>
      <c r="Y53" s="76"/>
      <c r="Z53" s="621"/>
      <c r="AA53" s="621"/>
      <c r="AB53" s="621"/>
      <c r="AC53" s="621"/>
      <c r="AD53" s="621"/>
      <c r="AE53" s="621"/>
      <c r="AF53" s="621"/>
      <c r="AG53" s="621"/>
      <c r="AH53" s="621"/>
      <c r="AI53" s="621"/>
      <c r="AJ53" s="621"/>
    </row>
    <row r="54" spans="1:36" ht="12.75" customHeight="1" x14ac:dyDescent="0.15">
      <c r="A54" s="76"/>
      <c r="B54" s="99"/>
      <c r="C54" s="76"/>
      <c r="D54" s="76"/>
      <c r="E54" s="76"/>
      <c r="F54" s="76"/>
      <c r="G54" s="76"/>
      <c r="H54" s="76"/>
      <c r="I54" s="76"/>
      <c r="J54" s="76"/>
      <c r="K54" s="76"/>
      <c r="L54" s="76"/>
      <c r="M54" s="76"/>
      <c r="N54" s="76"/>
      <c r="O54" s="76"/>
      <c r="P54" s="76"/>
      <c r="Q54" s="76"/>
      <c r="R54" s="76"/>
      <c r="S54" s="76"/>
      <c r="T54" s="76"/>
      <c r="U54" s="76"/>
      <c r="V54" s="76"/>
      <c r="W54" s="76"/>
      <c r="X54" s="76"/>
      <c r="Y54" s="76"/>
      <c r="Z54" s="621"/>
      <c r="AA54" s="621"/>
      <c r="AB54" s="621"/>
      <c r="AC54" s="621"/>
      <c r="AD54" s="621"/>
      <c r="AE54" s="621"/>
      <c r="AF54" s="621"/>
      <c r="AG54" s="621"/>
      <c r="AH54" s="621"/>
      <c r="AI54" s="621"/>
      <c r="AJ54" s="621"/>
    </row>
    <row r="55" spans="1:36" ht="12.75" customHeight="1" x14ac:dyDescent="0.15">
      <c r="A55" s="76"/>
      <c r="B55" s="99"/>
      <c r="C55" s="76"/>
      <c r="D55" s="76"/>
      <c r="E55" s="76"/>
      <c r="F55" s="76"/>
      <c r="G55" s="76"/>
      <c r="H55" s="76"/>
      <c r="I55" s="76"/>
      <c r="J55" s="76"/>
      <c r="K55" s="76"/>
      <c r="L55" s="76"/>
      <c r="M55" s="76"/>
      <c r="N55" s="76"/>
      <c r="O55" s="76"/>
      <c r="P55" s="76"/>
      <c r="Q55" s="76"/>
      <c r="R55" s="76"/>
      <c r="S55" s="76"/>
      <c r="T55" s="76"/>
      <c r="U55" s="76"/>
      <c r="V55" s="76"/>
      <c r="W55" s="76"/>
      <c r="X55" s="76"/>
      <c r="Y55" s="76"/>
      <c r="Z55" s="621"/>
      <c r="AA55" s="621"/>
      <c r="AB55" s="621"/>
      <c r="AC55" s="621"/>
      <c r="AD55" s="621"/>
      <c r="AE55" s="621"/>
      <c r="AF55" s="621"/>
      <c r="AG55" s="621"/>
      <c r="AH55" s="621"/>
      <c r="AI55" s="621"/>
      <c r="AJ55" s="621"/>
    </row>
    <row r="56" spans="1:36" ht="12.75" customHeight="1" x14ac:dyDescent="0.15">
      <c r="A56" s="76"/>
      <c r="B56" s="99"/>
      <c r="C56" s="76"/>
      <c r="D56" s="76"/>
      <c r="E56" s="76"/>
      <c r="F56" s="76"/>
      <c r="G56" s="76"/>
      <c r="H56" s="76"/>
      <c r="I56" s="76"/>
      <c r="J56" s="76"/>
      <c r="K56" s="76"/>
      <c r="L56" s="76"/>
      <c r="M56" s="76"/>
      <c r="N56" s="76"/>
      <c r="O56" s="76"/>
      <c r="P56" s="76"/>
      <c r="Q56" s="76"/>
      <c r="R56" s="76"/>
      <c r="S56" s="76"/>
      <c r="T56" s="76"/>
      <c r="U56" s="76"/>
      <c r="V56" s="76"/>
      <c r="W56" s="76"/>
      <c r="X56" s="76"/>
      <c r="Y56" s="76"/>
      <c r="Z56" s="621"/>
      <c r="AA56" s="621"/>
      <c r="AB56" s="621"/>
      <c r="AC56" s="621"/>
      <c r="AD56" s="621"/>
      <c r="AE56" s="621"/>
      <c r="AF56" s="621"/>
      <c r="AG56" s="621"/>
      <c r="AH56" s="621"/>
      <c r="AI56" s="621"/>
      <c r="AJ56" s="621"/>
    </row>
    <row r="57" spans="1:36" ht="12.75" customHeight="1" x14ac:dyDescent="0.15">
      <c r="A57" s="76"/>
      <c r="B57" s="99"/>
      <c r="C57" s="76"/>
      <c r="D57" s="76"/>
      <c r="E57" s="76"/>
      <c r="F57" s="76"/>
      <c r="G57" s="76"/>
      <c r="H57" s="76"/>
      <c r="I57" s="76"/>
      <c r="J57" s="76"/>
      <c r="K57" s="76"/>
      <c r="L57" s="76"/>
      <c r="M57" s="76"/>
      <c r="N57" s="76"/>
      <c r="O57" s="76"/>
      <c r="P57" s="76"/>
      <c r="Q57" s="76"/>
      <c r="R57" s="76"/>
      <c r="S57" s="76"/>
      <c r="T57" s="76"/>
      <c r="U57" s="76"/>
      <c r="V57" s="76"/>
      <c r="W57" s="76"/>
      <c r="X57" s="76"/>
      <c r="Y57" s="76"/>
      <c r="Z57" s="621"/>
      <c r="AA57" s="621"/>
      <c r="AB57" s="621"/>
      <c r="AC57" s="621"/>
      <c r="AD57" s="621"/>
      <c r="AE57" s="621"/>
      <c r="AF57" s="621"/>
      <c r="AG57" s="621"/>
      <c r="AH57" s="621"/>
      <c r="AI57" s="621"/>
      <c r="AJ57" s="621"/>
    </row>
    <row r="58" spans="1:36" ht="12.75" customHeight="1" x14ac:dyDescent="0.15">
      <c r="A58" s="76"/>
      <c r="B58" s="99"/>
      <c r="C58" s="76"/>
      <c r="D58" s="76"/>
      <c r="E58" s="76"/>
      <c r="F58" s="76"/>
      <c r="G58" s="76"/>
      <c r="H58" s="76"/>
      <c r="I58" s="76"/>
      <c r="J58" s="76"/>
      <c r="K58" s="76"/>
      <c r="L58" s="76"/>
      <c r="M58" s="76"/>
      <c r="N58" s="76"/>
      <c r="O58" s="76"/>
      <c r="P58" s="76"/>
      <c r="Q58" s="76"/>
      <c r="R58" s="76"/>
      <c r="S58" s="76"/>
      <c r="T58" s="76"/>
      <c r="U58" s="76"/>
      <c r="V58" s="76"/>
      <c r="W58" s="76"/>
      <c r="X58" s="76"/>
      <c r="Y58" s="76"/>
      <c r="Z58" s="621"/>
      <c r="AA58" s="621"/>
      <c r="AB58" s="621"/>
      <c r="AC58" s="621"/>
      <c r="AD58" s="621"/>
      <c r="AE58" s="621"/>
      <c r="AF58" s="621"/>
      <c r="AG58" s="621"/>
      <c r="AH58" s="621"/>
      <c r="AI58" s="621"/>
      <c r="AJ58" s="621"/>
    </row>
    <row r="59" spans="1:36" ht="12.75" customHeight="1" x14ac:dyDescent="0.15">
      <c r="A59" s="76"/>
      <c r="B59" s="99"/>
      <c r="C59" s="76"/>
      <c r="D59" s="76"/>
      <c r="E59" s="76"/>
      <c r="F59" s="76"/>
      <c r="G59" s="76"/>
      <c r="H59" s="76"/>
      <c r="I59" s="76"/>
      <c r="J59" s="76"/>
      <c r="K59" s="76"/>
      <c r="L59" s="76"/>
      <c r="M59" s="76"/>
      <c r="N59" s="76"/>
      <c r="O59" s="76"/>
      <c r="P59" s="76"/>
      <c r="Q59" s="76"/>
      <c r="R59" s="76"/>
      <c r="S59" s="76"/>
      <c r="T59" s="76"/>
      <c r="U59" s="76"/>
      <c r="V59" s="76"/>
      <c r="W59" s="76"/>
      <c r="X59" s="76"/>
      <c r="Y59" s="76"/>
      <c r="Z59" s="621"/>
      <c r="AA59" s="621"/>
      <c r="AB59" s="621"/>
      <c r="AC59" s="621"/>
      <c r="AD59" s="621"/>
      <c r="AE59" s="621"/>
      <c r="AF59" s="621"/>
      <c r="AG59" s="621"/>
      <c r="AH59" s="621"/>
      <c r="AI59" s="621"/>
      <c r="AJ59" s="621"/>
    </row>
    <row r="60" spans="1:36" ht="12.75" customHeight="1" x14ac:dyDescent="0.15">
      <c r="A60" s="76"/>
      <c r="B60" s="99"/>
      <c r="C60" s="76"/>
      <c r="D60" s="76"/>
      <c r="E60" s="76"/>
      <c r="F60" s="76"/>
      <c r="G60" s="76"/>
      <c r="H60" s="76"/>
      <c r="I60" s="76"/>
      <c r="J60" s="76"/>
      <c r="K60" s="76"/>
      <c r="L60" s="76"/>
      <c r="M60" s="76"/>
      <c r="N60" s="76"/>
      <c r="O60" s="76"/>
      <c r="P60" s="76"/>
      <c r="Q60" s="76"/>
      <c r="R60" s="76"/>
      <c r="S60" s="76"/>
      <c r="T60" s="76"/>
      <c r="U60" s="76"/>
      <c r="V60" s="76"/>
      <c r="W60" s="76"/>
      <c r="X60" s="76"/>
      <c r="Y60" s="76"/>
      <c r="Z60" s="621"/>
      <c r="AA60" s="621"/>
      <c r="AB60" s="621"/>
      <c r="AC60" s="621"/>
      <c r="AD60" s="621"/>
      <c r="AE60" s="621"/>
      <c r="AF60" s="621"/>
      <c r="AG60" s="621"/>
      <c r="AH60" s="621"/>
      <c r="AI60" s="621"/>
      <c r="AJ60" s="621"/>
    </row>
    <row r="61" spans="1:36" ht="12.75" customHeight="1" x14ac:dyDescent="0.15">
      <c r="A61" s="76"/>
      <c r="B61" s="99"/>
      <c r="C61" s="76"/>
      <c r="D61" s="76"/>
      <c r="E61" s="76"/>
      <c r="F61" s="76"/>
      <c r="G61" s="76"/>
      <c r="H61" s="76"/>
      <c r="I61" s="76"/>
      <c r="J61" s="76"/>
      <c r="K61" s="76"/>
      <c r="L61" s="76"/>
      <c r="M61" s="76"/>
      <c r="N61" s="76"/>
      <c r="O61" s="76"/>
      <c r="P61" s="76"/>
      <c r="Q61" s="76"/>
      <c r="R61" s="76"/>
      <c r="S61" s="76"/>
      <c r="T61" s="76"/>
      <c r="U61" s="76"/>
      <c r="V61" s="76"/>
      <c r="W61" s="76"/>
      <c r="X61" s="76"/>
      <c r="Y61" s="76"/>
      <c r="Z61" s="621"/>
      <c r="AA61" s="621"/>
      <c r="AB61" s="621"/>
      <c r="AC61" s="621"/>
      <c r="AD61" s="621"/>
      <c r="AE61" s="621"/>
      <c r="AF61" s="621"/>
      <c r="AG61" s="621"/>
      <c r="AH61" s="621"/>
      <c r="AI61" s="621"/>
      <c r="AJ61" s="621"/>
    </row>
    <row r="62" spans="1:36" ht="12.75" customHeight="1" x14ac:dyDescent="0.15">
      <c r="A62" s="76"/>
      <c r="B62" s="99"/>
      <c r="C62" s="76"/>
      <c r="D62" s="76"/>
      <c r="E62" s="76"/>
      <c r="F62" s="76"/>
      <c r="G62" s="76"/>
      <c r="H62" s="76"/>
      <c r="I62" s="76"/>
      <c r="J62" s="76"/>
      <c r="K62" s="76"/>
      <c r="L62" s="76"/>
      <c r="M62" s="76"/>
      <c r="N62" s="76"/>
      <c r="O62" s="76"/>
      <c r="P62" s="76"/>
      <c r="Q62" s="76"/>
      <c r="R62" s="76"/>
      <c r="S62" s="76"/>
      <c r="T62" s="76"/>
      <c r="U62" s="76"/>
      <c r="V62" s="76"/>
      <c r="W62" s="76"/>
      <c r="X62" s="76"/>
      <c r="Y62" s="76"/>
      <c r="Z62" s="621"/>
      <c r="AA62" s="621"/>
      <c r="AB62" s="621"/>
      <c r="AC62" s="621"/>
      <c r="AD62" s="621"/>
      <c r="AE62" s="621"/>
      <c r="AF62" s="621"/>
      <c r="AG62" s="621"/>
      <c r="AH62" s="621"/>
      <c r="AI62" s="621"/>
      <c r="AJ62" s="621"/>
    </row>
    <row r="63" spans="1:36" ht="12.75" customHeight="1" x14ac:dyDescent="0.15">
      <c r="A63" s="76"/>
      <c r="B63" s="99"/>
      <c r="C63" s="76"/>
      <c r="D63" s="76"/>
      <c r="E63" s="76"/>
      <c r="F63" s="76"/>
      <c r="G63" s="76"/>
      <c r="H63" s="76"/>
      <c r="I63" s="76"/>
      <c r="J63" s="76"/>
      <c r="K63" s="76"/>
      <c r="L63" s="76"/>
      <c r="M63" s="76"/>
      <c r="N63" s="76"/>
      <c r="O63" s="76"/>
      <c r="P63" s="76"/>
      <c r="Q63" s="76"/>
      <c r="R63" s="76"/>
      <c r="S63" s="76"/>
      <c r="T63" s="76"/>
      <c r="U63" s="76"/>
      <c r="V63" s="76"/>
      <c r="W63" s="76"/>
      <c r="X63" s="76"/>
      <c r="Y63" s="76"/>
      <c r="Z63" s="621"/>
      <c r="AA63" s="621"/>
      <c r="AB63" s="621"/>
      <c r="AC63" s="621"/>
      <c r="AD63" s="621"/>
      <c r="AE63" s="621"/>
      <c r="AF63" s="621"/>
      <c r="AG63" s="621"/>
      <c r="AH63" s="621"/>
      <c r="AI63" s="621"/>
      <c r="AJ63" s="621"/>
    </row>
    <row r="64" spans="1:36" ht="12.75" customHeight="1" x14ac:dyDescent="0.15">
      <c r="A64" s="76"/>
      <c r="B64" s="99"/>
      <c r="C64" s="76"/>
      <c r="D64" s="76"/>
      <c r="E64" s="76"/>
      <c r="F64" s="76"/>
      <c r="G64" s="76"/>
      <c r="H64" s="76"/>
      <c r="I64" s="76"/>
      <c r="J64" s="76"/>
      <c r="K64" s="76"/>
      <c r="L64" s="76"/>
      <c r="M64" s="76"/>
      <c r="N64" s="76"/>
      <c r="O64" s="76"/>
      <c r="P64" s="76"/>
      <c r="Q64" s="76"/>
      <c r="R64" s="76"/>
      <c r="S64" s="76"/>
      <c r="T64" s="76"/>
      <c r="U64" s="76"/>
      <c r="V64" s="76"/>
      <c r="W64" s="76"/>
      <c r="X64" s="76"/>
      <c r="Y64" s="76"/>
      <c r="Z64" s="621"/>
      <c r="AA64" s="621"/>
      <c r="AB64" s="621"/>
      <c r="AC64" s="621"/>
      <c r="AD64" s="621"/>
      <c r="AE64" s="621"/>
      <c r="AF64" s="621"/>
      <c r="AG64" s="621"/>
      <c r="AH64" s="621"/>
      <c r="AI64" s="621"/>
      <c r="AJ64" s="621"/>
    </row>
    <row r="65" spans="1:36" ht="12.75" customHeight="1" x14ac:dyDescent="0.15">
      <c r="A65" s="76"/>
      <c r="B65" s="99"/>
      <c r="C65" s="76"/>
      <c r="D65" s="76"/>
      <c r="E65" s="76"/>
      <c r="F65" s="76"/>
      <c r="G65" s="76"/>
      <c r="H65" s="76"/>
      <c r="I65" s="76"/>
      <c r="J65" s="76"/>
      <c r="K65" s="76"/>
      <c r="L65" s="76"/>
      <c r="M65" s="76"/>
      <c r="N65" s="76"/>
      <c r="O65" s="76"/>
      <c r="P65" s="76"/>
      <c r="Q65" s="76"/>
      <c r="R65" s="76"/>
      <c r="S65" s="76"/>
      <c r="T65" s="76"/>
      <c r="U65" s="76"/>
      <c r="V65" s="76"/>
      <c r="W65" s="76"/>
      <c r="X65" s="76"/>
      <c r="Y65" s="76"/>
      <c r="Z65" s="621"/>
      <c r="AA65" s="621"/>
      <c r="AB65" s="621"/>
      <c r="AC65" s="621"/>
      <c r="AD65" s="621"/>
      <c r="AE65" s="621"/>
      <c r="AF65" s="621"/>
      <c r="AG65" s="621"/>
      <c r="AH65" s="621"/>
      <c r="AI65" s="621"/>
      <c r="AJ65" s="621"/>
    </row>
    <row r="66" spans="1:36" ht="12.75" customHeight="1" x14ac:dyDescent="0.15">
      <c r="A66" s="76"/>
      <c r="B66" s="99"/>
      <c r="C66" s="76"/>
      <c r="D66" s="76"/>
      <c r="E66" s="76"/>
      <c r="F66" s="76"/>
      <c r="G66" s="76"/>
      <c r="H66" s="76"/>
      <c r="I66" s="76"/>
      <c r="J66" s="76"/>
      <c r="K66" s="76"/>
      <c r="L66" s="76"/>
      <c r="M66" s="76"/>
      <c r="N66" s="76"/>
      <c r="O66" s="76"/>
      <c r="P66" s="76"/>
      <c r="Q66" s="76"/>
      <c r="R66" s="76"/>
      <c r="S66" s="76"/>
      <c r="T66" s="76"/>
      <c r="U66" s="76"/>
      <c r="V66" s="76"/>
      <c r="W66" s="76"/>
      <c r="X66" s="76"/>
      <c r="Y66" s="76"/>
      <c r="Z66" s="621"/>
      <c r="AA66" s="621"/>
      <c r="AB66" s="621"/>
      <c r="AC66" s="621"/>
      <c r="AD66" s="621"/>
      <c r="AE66" s="621"/>
      <c r="AF66" s="621"/>
      <c r="AG66" s="621"/>
      <c r="AH66" s="621"/>
      <c r="AI66" s="621"/>
      <c r="AJ66" s="621"/>
    </row>
    <row r="67" spans="1:36" ht="12.75" customHeight="1" x14ac:dyDescent="0.15">
      <c r="A67" s="76"/>
      <c r="B67" s="99"/>
      <c r="C67" s="76"/>
      <c r="D67" s="76"/>
      <c r="E67" s="76"/>
      <c r="F67" s="76"/>
      <c r="G67" s="76"/>
      <c r="H67" s="76"/>
      <c r="I67" s="76"/>
      <c r="J67" s="76"/>
      <c r="K67" s="76"/>
      <c r="L67" s="76"/>
      <c r="M67" s="76"/>
      <c r="N67" s="76"/>
      <c r="O67" s="76"/>
      <c r="P67" s="76"/>
      <c r="Q67" s="76"/>
      <c r="R67" s="76"/>
      <c r="S67" s="76"/>
      <c r="T67" s="76"/>
      <c r="U67" s="76"/>
      <c r="V67" s="76"/>
      <c r="W67" s="76"/>
      <c r="X67" s="76"/>
      <c r="Y67" s="76"/>
      <c r="Z67" s="621"/>
      <c r="AA67" s="621"/>
      <c r="AB67" s="621"/>
      <c r="AC67" s="621"/>
      <c r="AD67" s="621"/>
      <c r="AE67" s="621"/>
      <c r="AF67" s="621"/>
      <c r="AG67" s="621"/>
      <c r="AH67" s="621"/>
      <c r="AI67" s="621"/>
      <c r="AJ67" s="621"/>
    </row>
    <row r="68" spans="1:36" ht="12.75" customHeight="1" x14ac:dyDescent="0.15">
      <c r="A68" s="76"/>
      <c r="B68" s="99"/>
      <c r="C68" s="76"/>
      <c r="D68" s="76"/>
      <c r="E68" s="76"/>
      <c r="F68" s="76"/>
      <c r="G68" s="76"/>
      <c r="H68" s="76"/>
      <c r="I68" s="76"/>
      <c r="J68" s="76"/>
      <c r="K68" s="76"/>
      <c r="L68" s="76"/>
      <c r="M68" s="76"/>
      <c r="N68" s="76"/>
      <c r="O68" s="76"/>
      <c r="P68" s="76"/>
      <c r="Q68" s="76"/>
      <c r="R68" s="76"/>
      <c r="S68" s="76"/>
      <c r="T68" s="76"/>
      <c r="U68" s="76"/>
      <c r="V68" s="76"/>
      <c r="W68" s="76"/>
      <c r="X68" s="76"/>
      <c r="Y68" s="76"/>
      <c r="Z68" s="621"/>
      <c r="AA68" s="621"/>
      <c r="AB68" s="621"/>
      <c r="AC68" s="621"/>
      <c r="AD68" s="621"/>
      <c r="AE68" s="621"/>
      <c r="AF68" s="621"/>
      <c r="AG68" s="621"/>
      <c r="AH68" s="621"/>
      <c r="AI68" s="621"/>
      <c r="AJ68" s="621"/>
    </row>
    <row r="69" spans="1:36" ht="12.75" customHeight="1" x14ac:dyDescent="0.15">
      <c r="A69" s="76"/>
      <c r="B69" s="99"/>
      <c r="C69" s="76"/>
      <c r="D69" s="76"/>
      <c r="E69" s="76"/>
      <c r="F69" s="76"/>
      <c r="G69" s="76"/>
      <c r="H69" s="76"/>
      <c r="I69" s="76"/>
      <c r="J69" s="76"/>
      <c r="K69" s="76"/>
      <c r="L69" s="76"/>
      <c r="M69" s="76"/>
      <c r="N69" s="76"/>
      <c r="O69" s="76"/>
      <c r="P69" s="76"/>
      <c r="Q69" s="76"/>
      <c r="R69" s="76"/>
      <c r="S69" s="76"/>
      <c r="T69" s="76"/>
      <c r="U69" s="76"/>
      <c r="V69" s="76"/>
      <c r="W69" s="76"/>
      <c r="X69" s="76"/>
      <c r="Y69" s="76"/>
      <c r="Z69" s="621"/>
      <c r="AA69" s="621"/>
      <c r="AB69" s="621"/>
      <c r="AC69" s="621"/>
      <c r="AD69" s="621"/>
      <c r="AE69" s="621"/>
      <c r="AF69" s="621"/>
      <c r="AG69" s="621"/>
      <c r="AH69" s="621"/>
      <c r="AI69" s="621"/>
      <c r="AJ69" s="621"/>
    </row>
  </sheetData>
  <protectedRanges>
    <protectedRange sqref="B6:B8 B10:B21 C10:C12 C15:C17 C20:C21 B36:C39 D13:D14 D18:D19 B23:B28 B30:C34 B45:B46 B41:B42" name="Range1"/>
  </protectedRanges>
  <mergeCells count="12">
    <mergeCell ref="J5:K5"/>
    <mergeCell ref="C51:D51"/>
    <mergeCell ref="C50:D50"/>
    <mergeCell ref="D49:E49"/>
    <mergeCell ref="F1:G1"/>
    <mergeCell ref="E23:F23"/>
    <mergeCell ref="E22:F22"/>
    <mergeCell ref="E24:F24"/>
    <mergeCell ref="E25:F25"/>
    <mergeCell ref="E26:F26"/>
    <mergeCell ref="E27:F27"/>
    <mergeCell ref="E28:F28"/>
  </mergeCells>
  <conditionalFormatting sqref="G23:G28">
    <cfRule type="cellIs" dxfId="253" priority="66" operator="between">
      <formula>-1</formula>
      <formula>0</formula>
    </cfRule>
  </conditionalFormatting>
  <conditionalFormatting sqref="G23:G28">
    <cfRule type="cellIs" dxfId="252" priority="64" operator="lessThanOrEqual">
      <formula>-2</formula>
    </cfRule>
  </conditionalFormatting>
  <conditionalFormatting sqref="G23:G28">
    <cfRule type="cellIs" dxfId="251" priority="65" operator="between">
      <formula>-1.99999</formula>
      <formula>-1.5</formula>
    </cfRule>
  </conditionalFormatting>
  <conditionalFormatting sqref="F10:F12 F15:F17 F20:F21 F30:F34 F36:F39">
    <cfRule type="cellIs" dxfId="250" priority="61" operator="lessThanOrEqual">
      <formula>-6</formula>
    </cfRule>
    <cfRule type="cellIs" dxfId="249" priority="62" operator="between">
      <formula>-5</formula>
      <formula>-3</formula>
    </cfRule>
    <cfRule type="cellIs" dxfId="248" priority="63" operator="between">
      <formula>-2</formula>
      <formula>-1</formula>
    </cfRule>
  </conditionalFormatting>
  <conditionalFormatting sqref="G23:G28">
    <cfRule type="cellIs" dxfId="247" priority="59" operator="greaterThan">
      <formula>0</formula>
    </cfRule>
    <cfRule type="cellIs" dxfId="246" priority="60" operator="between">
      <formula>-1.49999</formula>
      <formula>-1.00001</formula>
    </cfRule>
  </conditionalFormatting>
  <conditionalFormatting sqref="F10:F12 F15:F17 F20:F21 F30:F34 F36:F39">
    <cfRule type="cellIs" dxfId="245" priority="58" operator="greaterThanOrEqual">
      <formula>0</formula>
    </cfRule>
  </conditionalFormatting>
  <conditionalFormatting sqref="F41:F43">
    <cfRule type="cellIs" dxfId="244" priority="51" stopIfTrue="1" operator="lessThanOrEqual">
      <formula>-6</formula>
    </cfRule>
    <cfRule type="cellIs" dxfId="243" priority="52" operator="between">
      <formula>-5</formula>
      <formula>-3</formula>
    </cfRule>
    <cfRule type="cellIs" dxfId="242" priority="53" operator="between">
      <formula>-2</formula>
      <formula>-1</formula>
    </cfRule>
  </conditionalFormatting>
  <conditionalFormatting sqref="F41:F43">
    <cfRule type="cellIs" dxfId="241" priority="50" stopIfTrue="1" operator="greaterThanOrEqual">
      <formula>0</formula>
    </cfRule>
  </conditionalFormatting>
  <conditionalFormatting sqref="F51">
    <cfRule type="cellIs" dxfId="240" priority="43" stopIfTrue="1" operator="lessThanOrEqual">
      <formula>-6</formula>
    </cfRule>
    <cfRule type="cellIs" dxfId="239" priority="44" stopIfTrue="1" operator="between">
      <formula>-5</formula>
      <formula>-3</formula>
    </cfRule>
    <cfRule type="cellIs" dxfId="238" priority="45" stopIfTrue="1" operator="between">
      <formula>-2</formula>
      <formula>-1</formula>
    </cfRule>
  </conditionalFormatting>
  <conditionalFormatting sqref="F51">
    <cfRule type="cellIs" dxfId="237" priority="42" stopIfTrue="1" operator="greaterThanOrEqual">
      <formula>0</formula>
    </cfRule>
  </conditionalFormatting>
  <conditionalFormatting sqref="G10:G21">
    <cfRule type="cellIs" dxfId="236" priority="25" operator="between">
      <formula>-1</formula>
      <formula>0</formula>
    </cfRule>
  </conditionalFormatting>
  <conditionalFormatting sqref="G10:G21">
    <cfRule type="cellIs" dxfId="235" priority="23" operator="lessThanOrEqual">
      <formula>-2</formula>
    </cfRule>
  </conditionalFormatting>
  <conditionalFormatting sqref="G10:G21">
    <cfRule type="cellIs" dxfId="234" priority="24" operator="between">
      <formula>-1.99999</formula>
      <formula>-1.5</formula>
    </cfRule>
  </conditionalFormatting>
  <conditionalFormatting sqref="G10:G21">
    <cfRule type="cellIs" dxfId="233" priority="21" operator="greaterThan">
      <formula>0</formula>
    </cfRule>
    <cfRule type="cellIs" dxfId="232" priority="22" operator="between">
      <formula>-1.49999</formula>
      <formula>-1.00001</formula>
    </cfRule>
  </conditionalFormatting>
  <conditionalFormatting sqref="G30:G34">
    <cfRule type="cellIs" dxfId="231" priority="20" operator="between">
      <formula>-1</formula>
      <formula>0</formula>
    </cfRule>
  </conditionalFormatting>
  <conditionalFormatting sqref="G30:G34">
    <cfRule type="cellIs" dxfId="230" priority="18" operator="lessThanOrEqual">
      <formula>-2</formula>
    </cfRule>
  </conditionalFormatting>
  <conditionalFormatting sqref="G30:G34">
    <cfRule type="cellIs" dxfId="229" priority="19" operator="between">
      <formula>-1.99999</formula>
      <formula>-1.5</formula>
    </cfRule>
  </conditionalFormatting>
  <conditionalFormatting sqref="G30:G34">
    <cfRule type="cellIs" dxfId="228" priority="16" operator="greaterThan">
      <formula>0</formula>
    </cfRule>
    <cfRule type="cellIs" dxfId="227" priority="17" operator="between">
      <formula>-1.49999</formula>
      <formula>-1.00001</formula>
    </cfRule>
  </conditionalFormatting>
  <conditionalFormatting sqref="G36:G39">
    <cfRule type="cellIs" dxfId="226" priority="15" operator="between">
      <formula>-1</formula>
      <formula>0</formula>
    </cfRule>
  </conditionalFormatting>
  <conditionalFormatting sqref="G36:G39">
    <cfRule type="cellIs" dxfId="225" priority="13" operator="lessThanOrEqual">
      <formula>-2</formula>
    </cfRule>
  </conditionalFormatting>
  <conditionalFormatting sqref="G36:G39">
    <cfRule type="cellIs" dxfId="224" priority="14" operator="between">
      <formula>-1.99999</formula>
      <formula>-1.5</formula>
    </cfRule>
  </conditionalFormatting>
  <conditionalFormatting sqref="G36:G39">
    <cfRule type="cellIs" dxfId="223" priority="11" operator="greaterThan">
      <formula>0</formula>
    </cfRule>
    <cfRule type="cellIs" dxfId="222" priority="12" operator="between">
      <formula>-1.49999</formula>
      <formula>-1.00001</formula>
    </cfRule>
  </conditionalFormatting>
  <conditionalFormatting sqref="G41:G43">
    <cfRule type="cellIs" dxfId="221" priority="10" operator="between">
      <formula>-1</formula>
      <formula>0</formula>
    </cfRule>
  </conditionalFormatting>
  <conditionalFormatting sqref="G41:G43">
    <cfRule type="cellIs" dxfId="220" priority="8" operator="lessThanOrEqual">
      <formula>-2</formula>
    </cfRule>
  </conditionalFormatting>
  <conditionalFormatting sqref="G41:G43">
    <cfRule type="cellIs" dxfId="219" priority="9" operator="between">
      <formula>-1.99999</formula>
      <formula>-1.5</formula>
    </cfRule>
  </conditionalFormatting>
  <conditionalFormatting sqref="G41:G43">
    <cfRule type="cellIs" dxfId="218" priority="6" operator="greaterThan">
      <formula>0</formula>
    </cfRule>
    <cfRule type="cellIs" dxfId="217" priority="7" operator="between">
      <formula>-1.49999</formula>
      <formula>-1.00001</formula>
    </cfRule>
  </conditionalFormatting>
  <conditionalFormatting sqref="G51">
    <cfRule type="cellIs" dxfId="216" priority="5" operator="between">
      <formula>-1</formula>
      <formula>0</formula>
    </cfRule>
  </conditionalFormatting>
  <conditionalFormatting sqref="G51">
    <cfRule type="cellIs" dxfId="215" priority="3" operator="lessThanOrEqual">
      <formula>-2</formula>
    </cfRule>
  </conditionalFormatting>
  <conditionalFormatting sqref="G51">
    <cfRule type="cellIs" dxfId="214" priority="4" operator="between">
      <formula>-1.99999</formula>
      <formula>-1.5</formula>
    </cfRule>
  </conditionalFormatting>
  <conditionalFormatting sqref="G51">
    <cfRule type="cellIs" dxfId="213" priority="1" operator="greaterThan">
      <formula>0</formula>
    </cfRule>
    <cfRule type="cellIs" dxfId="212" priority="2" operator="between">
      <formula>-1.49999</formula>
      <formula>-1.00001</formula>
    </cfRule>
  </conditionalFormatting>
  <pageMargins left="0.25" right="0.25"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E5C420D9-046D-4C88-A561-67CBA521DF02}">
          <x14:formula1>
            <xm:f>'Do Not Edit'!$AJ$1:$AJ$2</xm:f>
          </x14:formula1>
          <xm:sqref>B3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8E6BA-F56C-47CA-946A-86CD2500DA47}">
  <sheetPr>
    <tabColor rgb="FF92D050"/>
  </sheetPr>
  <dimension ref="A1:V46"/>
  <sheetViews>
    <sheetView workbookViewId="0">
      <selection activeCell="J24" sqref="J24"/>
    </sheetView>
  </sheetViews>
  <sheetFormatPr baseColWidth="10" defaultColWidth="8.83203125" defaultRowHeight="15" x14ac:dyDescent="0.2"/>
  <sheetData>
    <row r="1" spans="1:22" x14ac:dyDescent="0.2">
      <c r="A1" s="39"/>
      <c r="B1" s="427" t="s">
        <v>627</v>
      </c>
      <c r="C1" s="39"/>
      <c r="D1" s="39"/>
      <c r="E1" s="39"/>
      <c r="F1" s="39"/>
      <c r="G1" s="39"/>
      <c r="H1" s="39"/>
      <c r="I1" s="39"/>
      <c r="J1" s="39"/>
      <c r="K1" s="39"/>
      <c r="L1" s="39"/>
      <c r="M1" s="39"/>
      <c r="N1" s="39"/>
      <c r="O1" s="39"/>
      <c r="P1" s="39"/>
      <c r="Q1" s="39"/>
      <c r="R1" s="39"/>
      <c r="S1" s="39"/>
      <c r="T1" s="39"/>
      <c r="U1" s="39"/>
      <c r="V1" s="39"/>
    </row>
    <row r="2" spans="1:22" x14ac:dyDescent="0.2">
      <c r="A2" s="39"/>
      <c r="B2" s="39"/>
      <c r="C2" s="39"/>
      <c r="D2" s="428" t="s">
        <v>346</v>
      </c>
      <c r="E2" s="428" t="s">
        <v>347</v>
      </c>
      <c r="F2" s="428" t="s">
        <v>594</v>
      </c>
      <c r="G2" s="428" t="s">
        <v>595</v>
      </c>
      <c r="H2" s="39"/>
      <c r="I2" s="39"/>
      <c r="J2" s="39"/>
      <c r="K2" s="39"/>
      <c r="L2" s="39"/>
      <c r="M2" s="39"/>
      <c r="N2" s="39"/>
      <c r="O2" s="39"/>
      <c r="P2" s="39"/>
      <c r="Q2" s="39"/>
      <c r="R2" s="39"/>
      <c r="S2" s="39"/>
      <c r="T2" s="39"/>
      <c r="U2" s="39"/>
      <c r="V2" s="39"/>
    </row>
    <row r="3" spans="1:22" x14ac:dyDescent="0.2">
      <c r="A3" s="39"/>
      <c r="B3" s="427" t="s">
        <v>11</v>
      </c>
      <c r="C3" s="39"/>
      <c r="D3" s="543">
        <f>'Front Page &amp; Raw Test Scores'!F35</f>
        <v>5</v>
      </c>
      <c r="E3" s="543">
        <f>'Front Page &amp; Raw Test Scores'!G35</f>
        <v>7</v>
      </c>
      <c r="F3" s="543">
        <f>'Front Page &amp; Raw Test Scores'!H35</f>
        <v>8</v>
      </c>
      <c r="G3" s="543">
        <f>'Front Page &amp; Raw Test Scores'!I35</f>
        <v>10</v>
      </c>
      <c r="H3" s="39"/>
      <c r="I3" s="39"/>
      <c r="J3" s="39"/>
      <c r="K3" s="39"/>
      <c r="L3" s="39"/>
      <c r="M3" s="39"/>
      <c r="N3" s="39"/>
      <c r="O3" s="39"/>
      <c r="P3" s="39"/>
      <c r="Q3" s="39"/>
      <c r="R3" s="39"/>
      <c r="S3" s="39"/>
      <c r="T3" s="39"/>
      <c r="U3" s="39"/>
      <c r="V3" s="39"/>
    </row>
    <row r="4" spans="1:22" x14ac:dyDescent="0.2">
      <c r="A4" s="39"/>
      <c r="B4" s="39"/>
      <c r="C4" s="39"/>
      <c r="D4" s="428" t="s">
        <v>346</v>
      </c>
      <c r="E4" s="428" t="s">
        <v>347</v>
      </c>
      <c r="F4" s="412"/>
      <c r="G4" s="412"/>
      <c r="H4" s="39"/>
      <c r="I4" s="586"/>
      <c r="J4" s="586"/>
      <c r="K4" s="586"/>
      <c r="L4" s="586"/>
      <c r="M4" s="586"/>
      <c r="N4" s="586"/>
      <c r="O4" s="39"/>
      <c r="P4" s="39"/>
      <c r="Q4" s="39"/>
      <c r="R4" s="39"/>
      <c r="S4" s="39"/>
      <c r="T4" s="39"/>
      <c r="U4" s="39"/>
      <c r="V4" s="39"/>
    </row>
    <row r="5" spans="1:22" x14ac:dyDescent="0.2">
      <c r="A5" s="39"/>
      <c r="B5" s="427" t="s">
        <v>593</v>
      </c>
      <c r="C5" s="39"/>
      <c r="D5" s="543">
        <f>'Front Page &amp; Raw Test Scores'!F36</f>
        <v>5</v>
      </c>
      <c r="E5" s="543">
        <f>'Front Page &amp; Raw Test Scores'!G36</f>
        <v>12</v>
      </c>
      <c r="F5" s="412"/>
      <c r="G5" s="412"/>
      <c r="H5" s="39"/>
      <c r="I5" s="586"/>
      <c r="J5" s="586"/>
      <c r="K5" s="586"/>
      <c r="L5" s="586"/>
      <c r="M5" s="586"/>
      <c r="N5" s="586"/>
      <c r="O5" s="39"/>
      <c r="P5" s="39"/>
      <c r="Q5" s="39"/>
      <c r="R5" s="39"/>
      <c r="S5" s="39"/>
      <c r="T5" s="39"/>
      <c r="U5" s="39"/>
      <c r="V5" s="39"/>
    </row>
    <row r="6" spans="1:22" x14ac:dyDescent="0.2">
      <c r="A6" s="39"/>
      <c r="B6" s="39"/>
      <c r="C6" s="39"/>
      <c r="D6" s="39"/>
      <c r="E6" s="39"/>
      <c r="F6" s="39"/>
      <c r="G6" s="39"/>
      <c r="H6" s="39"/>
      <c r="I6" s="586"/>
      <c r="J6" s="586"/>
      <c r="K6" s="586"/>
      <c r="L6" s="586"/>
      <c r="M6" s="586"/>
      <c r="N6" s="586"/>
      <c r="O6" s="39"/>
      <c r="P6" s="39"/>
      <c r="Q6" s="39"/>
      <c r="R6" s="39"/>
      <c r="S6" s="39"/>
      <c r="T6" s="39"/>
      <c r="U6" s="39"/>
      <c r="V6" s="39"/>
    </row>
    <row r="7" spans="1:22" x14ac:dyDescent="0.2">
      <c r="A7" s="39"/>
      <c r="B7" s="39"/>
      <c r="C7" s="39"/>
      <c r="D7" s="39"/>
      <c r="E7" s="39"/>
      <c r="F7" s="39"/>
      <c r="G7" s="39"/>
      <c r="H7" s="39"/>
      <c r="I7" s="586"/>
      <c r="J7" s="586"/>
      <c r="K7" s="586"/>
      <c r="L7" s="586"/>
      <c r="M7" s="586"/>
      <c r="N7" s="586"/>
      <c r="O7" s="39"/>
      <c r="P7" s="39"/>
      <c r="Q7" s="39"/>
      <c r="R7" s="39"/>
      <c r="S7" s="39"/>
      <c r="T7" s="39"/>
      <c r="U7" s="39"/>
      <c r="V7" s="39"/>
    </row>
    <row r="8" spans="1:22" x14ac:dyDescent="0.2">
      <c r="A8" s="39"/>
      <c r="B8" s="599" t="s">
        <v>622</v>
      </c>
      <c r="C8" s="599"/>
      <c r="D8" s="428">
        <f>(G3-D3)/(10-D3)</f>
        <v>1</v>
      </c>
      <c r="E8" s="427"/>
      <c r="F8" s="39"/>
      <c r="G8" s="39"/>
      <c r="H8" s="39"/>
      <c r="I8" s="586"/>
      <c r="J8" s="586"/>
      <c r="K8" s="586"/>
      <c r="L8" s="586"/>
      <c r="M8" s="586"/>
      <c r="N8" s="586"/>
      <c r="O8" s="39"/>
      <c r="P8" s="39"/>
      <c r="Q8" s="39"/>
      <c r="R8" s="39"/>
      <c r="S8" s="39"/>
      <c r="T8" s="39"/>
      <c r="U8" s="39"/>
      <c r="V8" s="39"/>
    </row>
    <row r="9" spans="1:22" x14ac:dyDescent="0.2">
      <c r="A9" s="39"/>
      <c r="B9" s="599"/>
      <c r="C9" s="599"/>
      <c r="D9" s="428"/>
      <c r="E9" s="427"/>
      <c r="F9" s="39"/>
      <c r="G9" s="39"/>
      <c r="H9" s="39"/>
      <c r="I9" s="586"/>
      <c r="J9" s="586"/>
      <c r="K9" s="586"/>
      <c r="L9" s="586"/>
      <c r="M9" s="586"/>
      <c r="N9" s="586"/>
      <c r="O9" s="39"/>
      <c r="P9" s="39"/>
      <c r="Q9" s="39"/>
      <c r="R9" s="39"/>
      <c r="S9" s="39"/>
      <c r="T9" s="39"/>
      <c r="U9" s="39"/>
      <c r="V9" s="39"/>
    </row>
    <row r="10" spans="1:22" ht="16" thickBot="1" x14ac:dyDescent="0.25">
      <c r="A10" s="39"/>
      <c r="B10" s="599" t="s">
        <v>623</v>
      </c>
      <c r="C10" s="599"/>
      <c r="D10" s="428">
        <f>(E5-D5)/(12-D5)</f>
        <v>1</v>
      </c>
      <c r="E10" s="427"/>
      <c r="F10" s="39"/>
      <c r="G10" s="39"/>
      <c r="H10" s="39"/>
      <c r="I10" s="586"/>
      <c r="J10" s="586"/>
      <c r="K10" s="586"/>
      <c r="L10" s="586"/>
      <c r="M10" s="586"/>
      <c r="N10" s="586"/>
      <c r="O10" s="39"/>
      <c r="P10" s="39"/>
      <c r="Q10" s="39"/>
      <c r="R10" s="39"/>
      <c r="S10" s="39"/>
      <c r="T10" s="39"/>
      <c r="U10" s="39"/>
      <c r="V10" s="39"/>
    </row>
    <row r="11" spans="1:22" ht="16" thickBot="1" x14ac:dyDescent="0.25">
      <c r="A11" s="39"/>
      <c r="B11" s="599"/>
      <c r="C11" s="599"/>
      <c r="D11" s="428"/>
      <c r="E11" s="427"/>
      <c r="F11" s="606"/>
      <c r="G11" s="598" t="s">
        <v>628</v>
      </c>
      <c r="H11" s="607" t="s">
        <v>200</v>
      </c>
      <c r="I11" s="586"/>
      <c r="J11" s="586"/>
      <c r="K11" s="586"/>
      <c r="L11" s="586"/>
      <c r="M11" s="586"/>
      <c r="N11" s="586"/>
      <c r="O11" s="39"/>
      <c r="P11" s="39"/>
      <c r="Q11" s="39"/>
      <c r="R11" s="39"/>
      <c r="S11" s="39"/>
      <c r="T11" s="39"/>
      <c r="U11" s="39"/>
      <c r="V11" s="39"/>
    </row>
    <row r="12" spans="1:22" x14ac:dyDescent="0.2">
      <c r="A12" s="39"/>
      <c r="B12" s="600" t="s">
        <v>624</v>
      </c>
      <c r="C12" s="601"/>
      <c r="D12" s="602">
        <f>((G3-D3)+(E5-D5))/(22-(D5+D3))</f>
        <v>1</v>
      </c>
      <c r="E12" s="603"/>
      <c r="F12" s="606" t="s">
        <v>625</v>
      </c>
      <c r="G12" s="598">
        <v>0.75</v>
      </c>
      <c r="H12" s="607">
        <v>0.2</v>
      </c>
      <c r="I12" s="586">
        <f>G12-H12</f>
        <v>0.55000000000000004</v>
      </c>
      <c r="J12" s="586">
        <f>G12+H12</f>
        <v>0.95</v>
      </c>
      <c r="K12" s="586"/>
      <c r="L12" s="586"/>
      <c r="M12" s="586"/>
      <c r="N12" s="586"/>
      <c r="O12" s="39"/>
      <c r="P12" s="39"/>
      <c r="Q12" s="39"/>
      <c r="R12" s="39"/>
      <c r="S12" s="39"/>
      <c r="T12" s="39"/>
      <c r="U12" s="39"/>
      <c r="V12" s="39"/>
    </row>
    <row r="13" spans="1:22" x14ac:dyDescent="0.2">
      <c r="A13" s="39"/>
      <c r="B13" s="578"/>
      <c r="C13" s="427"/>
      <c r="D13" s="427"/>
      <c r="E13" s="427"/>
      <c r="F13" s="608" t="s">
        <v>626</v>
      </c>
      <c r="G13" s="412">
        <v>0.4</v>
      </c>
      <c r="H13" s="609">
        <v>0.2</v>
      </c>
      <c r="I13" s="586">
        <f>G13-H13</f>
        <v>0.2</v>
      </c>
      <c r="J13" s="586">
        <f>G13+H13</f>
        <v>0.60000000000000009</v>
      </c>
      <c r="K13" s="586"/>
      <c r="L13" s="586"/>
      <c r="M13" s="586"/>
      <c r="N13" s="586"/>
      <c r="O13" s="39"/>
      <c r="P13" s="39"/>
      <c r="Q13" s="39"/>
      <c r="R13" s="39"/>
      <c r="S13" s="39"/>
      <c r="T13" s="39"/>
      <c r="U13" s="39"/>
      <c r="V13" s="39"/>
    </row>
    <row r="14" spans="1:22" ht="16" thickBot="1" x14ac:dyDescent="0.25">
      <c r="A14" s="39"/>
      <c r="B14" s="604"/>
      <c r="C14" s="605"/>
      <c r="D14" s="605"/>
      <c r="E14" s="605"/>
      <c r="F14" s="610" t="s">
        <v>290</v>
      </c>
      <c r="G14" s="611">
        <v>0.24</v>
      </c>
      <c r="H14" s="612">
        <v>0.1</v>
      </c>
      <c r="I14" s="586">
        <f>G14-H14</f>
        <v>0.13999999999999999</v>
      </c>
      <c r="J14" s="586">
        <f>G14+H14</f>
        <v>0.33999999999999997</v>
      </c>
      <c r="K14" s="586"/>
      <c r="L14" s="586"/>
      <c r="M14" s="586"/>
      <c r="N14" s="586"/>
      <c r="O14" s="39"/>
      <c r="P14" s="39"/>
      <c r="Q14" s="39"/>
      <c r="R14" s="39"/>
      <c r="S14" s="39"/>
      <c r="T14" s="39"/>
      <c r="U14" s="39"/>
      <c r="V14" s="39"/>
    </row>
    <row r="15" spans="1:22" x14ac:dyDescent="0.2">
      <c r="A15" s="39"/>
      <c r="B15" s="39"/>
      <c r="C15" s="39"/>
      <c r="D15" s="39"/>
      <c r="E15" s="586"/>
      <c r="F15" s="586" t="s">
        <v>333</v>
      </c>
      <c r="G15" s="586">
        <f>D12</f>
        <v>1</v>
      </c>
      <c r="H15" s="586"/>
      <c r="I15" s="586">
        <v>0</v>
      </c>
      <c r="J15" s="586">
        <v>0</v>
      </c>
      <c r="K15" s="586"/>
      <c r="L15" s="586"/>
      <c r="M15" s="586"/>
      <c r="N15" s="586"/>
      <c r="O15" s="39"/>
      <c r="P15" s="39"/>
      <c r="Q15" s="39"/>
      <c r="R15" s="39"/>
      <c r="S15" s="39"/>
      <c r="T15" s="39"/>
      <c r="U15" s="39"/>
      <c r="V15" s="39"/>
    </row>
    <row r="16" spans="1:22" x14ac:dyDescent="0.2">
      <c r="A16" s="39"/>
      <c r="B16" s="39"/>
      <c r="C16" s="39"/>
      <c r="D16" s="39"/>
      <c r="E16" s="39"/>
      <c r="F16" s="39"/>
      <c r="G16" s="39"/>
      <c r="H16" s="39"/>
      <c r="I16" s="586"/>
      <c r="J16" s="586"/>
      <c r="K16" s="586"/>
      <c r="L16" s="586"/>
      <c r="M16" s="586"/>
      <c r="N16" s="586"/>
      <c r="O16" s="39"/>
      <c r="P16" s="39"/>
      <c r="Q16" s="39"/>
      <c r="R16" s="39"/>
      <c r="S16" s="39"/>
      <c r="T16" s="39"/>
      <c r="U16" s="39"/>
      <c r="V16" s="39"/>
    </row>
    <row r="17" spans="1:22" x14ac:dyDescent="0.2">
      <c r="A17" s="39"/>
      <c r="B17" s="39" t="s">
        <v>637</v>
      </c>
      <c r="C17" s="39"/>
      <c r="D17" s="39"/>
      <c r="E17" s="39"/>
      <c r="F17" s="39"/>
      <c r="G17" s="39"/>
      <c r="H17" s="39"/>
      <c r="I17" s="586"/>
      <c r="J17" s="586"/>
      <c r="K17" s="586"/>
      <c r="L17" s="586"/>
      <c r="M17" s="586"/>
      <c r="N17" s="586"/>
      <c r="O17" s="39"/>
      <c r="P17" s="39"/>
      <c r="Q17" s="39"/>
      <c r="R17" s="39"/>
      <c r="S17" s="39"/>
      <c r="T17" s="39"/>
      <c r="U17" s="39"/>
      <c r="V17" s="39"/>
    </row>
    <row r="18" spans="1:22" x14ac:dyDescent="0.2">
      <c r="A18" s="39"/>
      <c r="B18" s="39"/>
      <c r="C18" s="39"/>
      <c r="D18" s="39"/>
      <c r="E18" s="39"/>
      <c r="F18" s="39"/>
      <c r="G18" s="39"/>
      <c r="H18" s="39"/>
      <c r="I18" s="586"/>
      <c r="J18" s="586"/>
      <c r="K18" s="586"/>
      <c r="L18" s="586"/>
      <c r="M18" s="586"/>
      <c r="N18" s="586"/>
      <c r="O18" s="39"/>
      <c r="P18" s="39"/>
      <c r="Q18" s="39"/>
      <c r="R18" s="39"/>
      <c r="S18" s="39"/>
      <c r="T18" s="39"/>
      <c r="U18" s="39"/>
      <c r="V18" s="39"/>
    </row>
    <row r="19" spans="1:22" x14ac:dyDescent="0.2">
      <c r="A19" s="39"/>
      <c r="B19" s="39"/>
      <c r="C19" s="39"/>
      <c r="D19" s="39"/>
      <c r="E19" s="39"/>
      <c r="F19" s="39"/>
      <c r="G19" s="39"/>
      <c r="H19" s="39"/>
      <c r="I19" s="586"/>
      <c r="J19" s="586"/>
      <c r="K19" s="586"/>
      <c r="L19" s="586"/>
      <c r="M19" s="586"/>
      <c r="N19" s="586"/>
      <c r="O19" s="39"/>
      <c r="P19" s="39"/>
      <c r="Q19" s="39"/>
      <c r="R19" s="39"/>
      <c r="S19" s="39"/>
      <c r="T19" s="39"/>
      <c r="U19" s="39"/>
      <c r="V19" s="39"/>
    </row>
    <row r="20" spans="1:22" x14ac:dyDescent="0.2">
      <c r="A20" s="39"/>
      <c r="B20" s="39"/>
      <c r="C20" s="39"/>
      <c r="D20" s="39"/>
      <c r="E20" s="39"/>
      <c r="F20" s="39"/>
      <c r="G20" s="39"/>
      <c r="H20" s="39"/>
      <c r="I20" s="586"/>
      <c r="J20" s="586"/>
      <c r="K20" s="586"/>
      <c r="L20" s="586"/>
      <c r="M20" s="586"/>
      <c r="N20" s="586"/>
      <c r="O20" s="39"/>
      <c r="P20" s="39"/>
      <c r="Q20" s="39"/>
      <c r="R20" s="39"/>
      <c r="S20" s="39"/>
      <c r="T20" s="39"/>
      <c r="U20" s="39"/>
      <c r="V20" s="39"/>
    </row>
    <row r="21" spans="1:22" x14ac:dyDescent="0.2">
      <c r="A21" s="39"/>
      <c r="B21" s="39"/>
      <c r="C21" s="39"/>
      <c r="D21" s="39"/>
      <c r="E21" s="39"/>
      <c r="F21" s="39"/>
      <c r="G21" s="39"/>
      <c r="H21" s="39"/>
      <c r="I21" s="586"/>
      <c r="J21" s="586"/>
      <c r="K21" s="586"/>
      <c r="L21" s="586"/>
      <c r="M21" s="586"/>
      <c r="N21" s="586"/>
      <c r="O21" s="39"/>
      <c r="P21" s="39"/>
      <c r="Q21" s="39"/>
      <c r="R21" s="39"/>
      <c r="S21" s="39"/>
      <c r="T21" s="39"/>
      <c r="U21" s="39"/>
      <c r="V21" s="39"/>
    </row>
    <row r="22" spans="1:22" x14ac:dyDescent="0.2">
      <c r="A22" s="39"/>
      <c r="B22" s="39"/>
      <c r="C22" s="39"/>
      <c r="D22" s="39"/>
      <c r="E22" s="39"/>
      <c r="F22" s="39"/>
      <c r="G22" s="39"/>
      <c r="H22" s="39"/>
      <c r="I22" s="586"/>
      <c r="J22" s="586"/>
      <c r="K22" s="586"/>
      <c r="L22" s="586"/>
      <c r="M22" s="586"/>
      <c r="N22" s="586"/>
      <c r="O22" s="39"/>
      <c r="P22" s="39"/>
      <c r="Q22" s="39"/>
      <c r="R22" s="39"/>
      <c r="S22" s="39"/>
      <c r="T22" s="39"/>
      <c r="U22" s="39"/>
      <c r="V22" s="39"/>
    </row>
    <row r="23" spans="1:22" x14ac:dyDescent="0.2">
      <c r="A23" s="39"/>
      <c r="B23" s="39"/>
      <c r="C23" s="39"/>
      <c r="D23" s="39"/>
      <c r="E23" s="39"/>
      <c r="F23" s="39"/>
      <c r="G23" s="39"/>
      <c r="H23" s="39"/>
      <c r="I23" s="586"/>
      <c r="J23" s="586"/>
      <c r="K23" s="586"/>
      <c r="L23" s="586"/>
      <c r="M23" s="586"/>
      <c r="N23" s="586"/>
      <c r="O23" s="39"/>
      <c r="P23" s="39"/>
      <c r="Q23" s="39"/>
      <c r="R23" s="39"/>
      <c r="S23" s="39"/>
      <c r="T23" s="39"/>
      <c r="U23" s="39"/>
      <c r="V23" s="39"/>
    </row>
    <row r="24" spans="1:22" x14ac:dyDescent="0.2">
      <c r="A24" s="586"/>
      <c r="B24" s="586"/>
      <c r="C24" s="586"/>
      <c r="D24" s="586"/>
      <c r="E24" s="586"/>
      <c r="F24" s="586" t="s">
        <v>333</v>
      </c>
      <c r="G24" s="586"/>
      <c r="H24" s="586"/>
      <c r="I24" s="586">
        <f>D12</f>
        <v>1</v>
      </c>
      <c r="J24" s="586">
        <v>0</v>
      </c>
      <c r="K24" s="586"/>
      <c r="L24" s="586"/>
      <c r="M24" s="586"/>
      <c r="N24" s="586"/>
      <c r="O24" s="39"/>
      <c r="P24" s="39"/>
      <c r="Q24" s="39"/>
      <c r="R24" s="39"/>
      <c r="S24" s="39"/>
      <c r="T24" s="39"/>
      <c r="U24" s="39"/>
      <c r="V24" s="39"/>
    </row>
    <row r="25" spans="1:22" x14ac:dyDescent="0.2">
      <c r="A25" s="586"/>
      <c r="B25" s="586"/>
      <c r="C25" s="586"/>
      <c r="D25" s="586"/>
      <c r="E25" s="586"/>
      <c r="F25" s="586" t="s">
        <v>629</v>
      </c>
      <c r="G25" s="586"/>
      <c r="H25" s="586"/>
      <c r="I25" s="586">
        <f>G12</f>
        <v>0.75</v>
      </c>
      <c r="J25" s="586">
        <v>0.2</v>
      </c>
      <c r="K25" s="586"/>
      <c r="L25" s="586"/>
      <c r="M25" s="586"/>
      <c r="N25" s="586"/>
      <c r="O25" s="39"/>
      <c r="P25" s="39"/>
      <c r="Q25" s="39"/>
      <c r="R25" s="39"/>
      <c r="S25" s="39"/>
      <c r="T25" s="39"/>
      <c r="U25" s="39"/>
      <c r="V25" s="39"/>
    </row>
    <row r="26" spans="1:22" x14ac:dyDescent="0.2">
      <c r="A26" s="586"/>
      <c r="B26" s="586"/>
      <c r="C26" s="586"/>
      <c r="D26" s="586"/>
      <c r="E26" s="586"/>
      <c r="F26" s="586" t="s">
        <v>630</v>
      </c>
      <c r="G26" s="586"/>
      <c r="H26" s="586"/>
      <c r="I26" s="586">
        <f>G13</f>
        <v>0.4</v>
      </c>
      <c r="J26" s="586">
        <v>0.2</v>
      </c>
      <c r="K26" s="586"/>
      <c r="L26" s="586"/>
      <c r="M26" s="586"/>
      <c r="N26" s="586"/>
      <c r="O26" s="39"/>
      <c r="P26" s="39"/>
      <c r="Q26" s="39"/>
      <c r="R26" s="39"/>
      <c r="S26" s="39"/>
      <c r="T26" s="39"/>
      <c r="U26" s="39"/>
      <c r="V26" s="39"/>
    </row>
    <row r="27" spans="1:22" x14ac:dyDescent="0.2">
      <c r="A27" s="586"/>
      <c r="B27" s="586"/>
      <c r="C27" s="586"/>
      <c r="D27" s="586"/>
      <c r="E27" s="586"/>
      <c r="F27" s="586" t="s">
        <v>631</v>
      </c>
      <c r="G27" s="586"/>
      <c r="H27" s="586"/>
      <c r="I27" s="586">
        <f>G14</f>
        <v>0.24</v>
      </c>
      <c r="J27" s="586">
        <v>0.1</v>
      </c>
      <c r="K27" s="586"/>
      <c r="L27" s="586"/>
      <c r="M27" s="586"/>
      <c r="N27" s="586"/>
      <c r="O27" s="39"/>
      <c r="P27" s="39"/>
      <c r="Q27" s="39"/>
      <c r="R27" s="39"/>
      <c r="S27" s="39"/>
      <c r="T27" s="39"/>
      <c r="U27" s="39"/>
      <c r="V27" s="39"/>
    </row>
    <row r="28" spans="1:22" x14ac:dyDescent="0.2">
      <c r="A28" s="39"/>
      <c r="B28" s="39"/>
      <c r="C28" s="39"/>
      <c r="D28" s="39"/>
      <c r="E28" s="39"/>
      <c r="F28" s="39"/>
      <c r="G28" s="39"/>
      <c r="H28" s="39"/>
      <c r="I28" s="586"/>
      <c r="J28" s="586"/>
      <c r="K28" s="586"/>
      <c r="L28" s="586"/>
      <c r="M28" s="586"/>
      <c r="N28" s="586"/>
      <c r="O28" s="39"/>
      <c r="P28" s="39"/>
      <c r="Q28" s="39"/>
      <c r="R28" s="39"/>
      <c r="S28" s="39"/>
      <c r="T28" s="39"/>
      <c r="U28" s="39"/>
      <c r="V28" s="39"/>
    </row>
    <row r="29" spans="1:22" x14ac:dyDescent="0.2">
      <c r="A29" s="39"/>
      <c r="B29" s="39"/>
      <c r="C29" s="39"/>
      <c r="D29" s="39"/>
      <c r="E29" s="39"/>
      <c r="F29" s="39"/>
      <c r="G29" s="39"/>
      <c r="H29" s="39"/>
      <c r="I29" s="39"/>
      <c r="J29" s="39"/>
      <c r="K29" s="39"/>
      <c r="L29" s="39"/>
      <c r="M29" s="39"/>
      <c r="N29" s="39"/>
      <c r="O29" s="39"/>
      <c r="P29" s="39"/>
      <c r="Q29" s="39"/>
      <c r="R29" s="39"/>
      <c r="S29" s="39"/>
      <c r="T29" s="39"/>
      <c r="U29" s="39"/>
      <c r="V29" s="39"/>
    </row>
    <row r="30" spans="1:22" x14ac:dyDescent="0.2">
      <c r="A30" s="39"/>
      <c r="B30" s="39"/>
      <c r="C30" s="39"/>
      <c r="D30" s="39"/>
      <c r="E30" s="39"/>
      <c r="F30" s="39"/>
      <c r="G30" s="39"/>
      <c r="H30" s="39"/>
      <c r="I30" s="39"/>
      <c r="J30" s="39"/>
      <c r="K30" s="39"/>
      <c r="L30" s="39"/>
      <c r="M30" s="39"/>
      <c r="N30" s="39"/>
      <c r="O30" s="39"/>
      <c r="P30" s="39"/>
      <c r="Q30" s="39"/>
      <c r="R30" s="39"/>
      <c r="S30" s="39"/>
      <c r="T30" s="39"/>
      <c r="U30" s="39"/>
      <c r="V30" s="39"/>
    </row>
    <row r="31" spans="1:22" x14ac:dyDescent="0.2">
      <c r="A31" s="39"/>
      <c r="B31" s="39"/>
      <c r="C31" s="39"/>
      <c r="D31" s="39"/>
      <c r="E31" s="39"/>
      <c r="F31" s="39"/>
      <c r="G31" s="39"/>
      <c r="H31" s="39"/>
      <c r="I31" s="39"/>
      <c r="J31" s="39"/>
      <c r="K31" s="39"/>
      <c r="L31" s="39"/>
      <c r="M31" s="39"/>
      <c r="N31" s="39"/>
      <c r="O31" s="39"/>
      <c r="P31" s="39"/>
      <c r="Q31" s="39"/>
      <c r="R31" s="39"/>
      <c r="S31" s="39"/>
      <c r="T31" s="39"/>
      <c r="U31" s="39"/>
      <c r="V31" s="39"/>
    </row>
    <row r="32" spans="1:22" x14ac:dyDescent="0.2">
      <c r="A32" s="39"/>
      <c r="B32" s="39"/>
      <c r="C32" s="39"/>
      <c r="D32" s="39"/>
      <c r="E32" s="39"/>
      <c r="F32" s="39"/>
      <c r="G32" s="39"/>
      <c r="H32" s="39"/>
      <c r="I32" s="39"/>
      <c r="J32" s="39"/>
      <c r="K32" s="39"/>
      <c r="L32" s="39"/>
      <c r="M32" s="39"/>
      <c r="N32" s="39"/>
      <c r="O32" s="39"/>
      <c r="P32" s="39"/>
      <c r="Q32" s="39"/>
      <c r="R32" s="39"/>
      <c r="S32" s="39"/>
      <c r="T32" s="39"/>
      <c r="U32" s="39"/>
      <c r="V32" s="39"/>
    </row>
    <row r="33" spans="1:22" x14ac:dyDescent="0.2">
      <c r="A33" s="39"/>
      <c r="B33" s="39"/>
      <c r="C33" s="39"/>
      <c r="D33" s="39"/>
      <c r="E33" s="39"/>
      <c r="F33" s="39"/>
      <c r="G33" s="39"/>
      <c r="H33" s="39"/>
      <c r="I33" s="39"/>
      <c r="J33" s="39"/>
      <c r="K33" s="39"/>
      <c r="L33" s="39"/>
      <c r="M33" s="39"/>
      <c r="N33" s="39"/>
      <c r="O33" s="39"/>
      <c r="P33" s="39"/>
      <c r="Q33" s="39"/>
      <c r="R33" s="39"/>
      <c r="S33" s="39"/>
      <c r="T33" s="39"/>
      <c r="U33" s="39"/>
      <c r="V33" s="39"/>
    </row>
    <row r="34" spans="1:22" x14ac:dyDescent="0.2">
      <c r="A34" s="586"/>
      <c r="B34" s="586"/>
      <c r="C34" s="586"/>
      <c r="D34" s="586"/>
      <c r="E34" s="586"/>
      <c r="F34" s="586"/>
      <c r="G34" s="586"/>
      <c r="H34" s="586"/>
      <c r="I34" s="586"/>
      <c r="J34" s="586"/>
      <c r="K34" s="586"/>
      <c r="L34" s="586"/>
      <c r="M34" s="586"/>
      <c r="N34" s="586"/>
      <c r="O34" s="586"/>
      <c r="P34" s="586"/>
      <c r="Q34" s="586"/>
      <c r="R34" s="586"/>
      <c r="S34" s="586"/>
      <c r="T34" s="586"/>
      <c r="U34" s="586"/>
      <c r="V34" s="586"/>
    </row>
    <row r="35" spans="1:22" x14ac:dyDescent="0.2">
      <c r="A35" s="586"/>
      <c r="B35" s="586"/>
      <c r="C35" s="586"/>
      <c r="D35" s="586"/>
      <c r="E35" s="586"/>
      <c r="F35" s="586"/>
      <c r="G35" s="586"/>
      <c r="H35" s="586"/>
      <c r="I35" s="586"/>
      <c r="J35" s="586"/>
      <c r="K35" s="586"/>
      <c r="L35" s="586"/>
      <c r="M35" s="586"/>
      <c r="N35" s="586"/>
      <c r="O35" s="586"/>
      <c r="P35" s="586"/>
      <c r="Q35" s="586"/>
      <c r="R35" s="586"/>
      <c r="S35" s="586"/>
      <c r="T35" s="586"/>
      <c r="U35" s="586"/>
      <c r="V35" s="586"/>
    </row>
    <row r="36" spans="1:22" x14ac:dyDescent="0.2">
      <c r="A36" s="586"/>
      <c r="B36" s="586"/>
      <c r="C36" s="586"/>
      <c r="D36" s="586"/>
      <c r="E36" s="586"/>
      <c r="F36" s="586"/>
      <c r="G36" s="586"/>
      <c r="H36" s="586"/>
      <c r="I36" s="586"/>
      <c r="J36" s="586"/>
      <c r="K36" s="586"/>
      <c r="L36" s="586"/>
      <c r="M36" s="586"/>
      <c r="N36" s="586"/>
      <c r="O36" s="586"/>
      <c r="P36" s="586"/>
      <c r="Q36" s="586"/>
      <c r="R36" s="586"/>
      <c r="S36" s="586"/>
      <c r="T36" s="586"/>
      <c r="U36" s="586"/>
      <c r="V36" s="586"/>
    </row>
    <row r="37" spans="1:22" x14ac:dyDescent="0.2">
      <c r="A37" s="586"/>
      <c r="B37" s="586"/>
      <c r="C37" s="586"/>
      <c r="D37" s="586"/>
      <c r="E37" s="586"/>
      <c r="F37" s="586"/>
      <c r="G37" s="586"/>
      <c r="H37" s="586"/>
      <c r="I37" s="586"/>
      <c r="J37" s="586"/>
      <c r="K37" s="586"/>
      <c r="L37" s="586"/>
      <c r="M37" s="586"/>
      <c r="N37" s="586"/>
      <c r="O37" s="586"/>
      <c r="P37" s="586"/>
      <c r="Q37" s="586"/>
      <c r="R37" s="586"/>
      <c r="S37" s="586"/>
      <c r="T37" s="586"/>
      <c r="U37" s="586"/>
      <c r="V37" s="586"/>
    </row>
    <row r="38" spans="1:22" x14ac:dyDescent="0.2">
      <c r="A38" s="586"/>
      <c r="B38" s="586"/>
      <c r="C38" s="586"/>
      <c r="D38" s="586"/>
      <c r="E38" s="586"/>
      <c r="F38" s="586"/>
      <c r="G38" s="586"/>
      <c r="H38" s="586"/>
      <c r="I38" s="586"/>
      <c r="J38" s="586"/>
      <c r="K38" s="586"/>
      <c r="L38" s="586"/>
      <c r="M38" s="586"/>
      <c r="N38" s="586"/>
      <c r="O38" s="586"/>
      <c r="P38" s="586"/>
      <c r="Q38" s="586"/>
      <c r="R38" s="586"/>
      <c r="S38" s="586"/>
      <c r="T38" s="586"/>
      <c r="U38" s="586"/>
      <c r="V38" s="586"/>
    </row>
    <row r="39" spans="1:22" x14ac:dyDescent="0.2">
      <c r="A39" s="586"/>
      <c r="B39" s="586"/>
      <c r="C39" s="586"/>
      <c r="D39" s="586"/>
      <c r="E39" s="586"/>
      <c r="F39" s="586"/>
      <c r="G39" s="586"/>
      <c r="H39" s="586"/>
      <c r="I39" s="586"/>
      <c r="J39" s="586"/>
      <c r="K39" s="586"/>
      <c r="L39" s="586"/>
      <c r="M39" s="586"/>
      <c r="N39" s="586"/>
      <c r="O39" s="586"/>
      <c r="P39" s="586"/>
      <c r="Q39" s="586"/>
      <c r="R39" s="586"/>
      <c r="S39" s="586"/>
      <c r="T39" s="586"/>
      <c r="U39" s="586"/>
      <c r="V39" s="586"/>
    </row>
    <row r="40" spans="1:22" x14ac:dyDescent="0.2">
      <c r="A40" s="586"/>
      <c r="B40" s="586"/>
      <c r="C40" s="586"/>
      <c r="D40" s="586"/>
      <c r="E40" s="586"/>
      <c r="F40" s="586"/>
      <c r="G40" s="586"/>
      <c r="H40" s="586"/>
      <c r="I40" s="586"/>
      <c r="J40" s="586"/>
      <c r="K40" s="586"/>
      <c r="L40" s="586"/>
      <c r="M40" s="586"/>
      <c r="N40" s="586"/>
      <c r="O40" s="586"/>
      <c r="P40" s="586"/>
      <c r="Q40" s="586"/>
      <c r="R40" s="586"/>
      <c r="S40" s="586"/>
      <c r="T40" s="586"/>
      <c r="U40" s="586"/>
      <c r="V40" s="586"/>
    </row>
    <row r="41" spans="1:22" x14ac:dyDescent="0.2">
      <c r="A41" s="586"/>
      <c r="B41" s="586"/>
      <c r="C41" s="586"/>
      <c r="D41" s="586"/>
      <c r="E41" s="586"/>
      <c r="F41" s="586"/>
      <c r="G41" s="586"/>
      <c r="H41" s="586"/>
      <c r="I41" s="586"/>
      <c r="J41" s="586"/>
      <c r="K41" s="586"/>
      <c r="L41" s="586"/>
      <c r="M41" s="586"/>
      <c r="N41" s="586"/>
      <c r="O41" s="586"/>
      <c r="P41" s="586"/>
      <c r="Q41" s="586"/>
      <c r="R41" s="586"/>
      <c r="S41" s="586"/>
      <c r="T41" s="586"/>
      <c r="U41" s="586"/>
      <c r="V41" s="586"/>
    </row>
    <row r="42" spans="1:22" x14ac:dyDescent="0.2">
      <c r="A42" s="586"/>
      <c r="B42" s="586"/>
      <c r="C42" s="586"/>
      <c r="D42" s="586"/>
      <c r="E42" s="586"/>
      <c r="F42" s="586"/>
      <c r="G42" s="586"/>
      <c r="H42" s="586"/>
      <c r="I42" s="586"/>
      <c r="J42" s="586"/>
      <c r="K42" s="586"/>
      <c r="L42" s="586"/>
      <c r="M42" s="586"/>
      <c r="N42" s="586"/>
      <c r="O42" s="586"/>
      <c r="P42" s="586"/>
      <c r="Q42" s="586"/>
      <c r="R42" s="586"/>
      <c r="S42" s="586"/>
      <c r="T42" s="586"/>
      <c r="U42" s="586"/>
      <c r="V42" s="586"/>
    </row>
    <row r="43" spans="1:22" x14ac:dyDescent="0.2">
      <c r="A43" s="586"/>
      <c r="B43" s="586"/>
      <c r="C43" s="586"/>
      <c r="D43" s="586"/>
      <c r="E43" s="586"/>
      <c r="F43" s="586"/>
      <c r="G43" s="586"/>
      <c r="H43" s="586"/>
      <c r="I43" s="586"/>
      <c r="J43" s="586"/>
      <c r="K43" s="586"/>
      <c r="L43" s="586"/>
      <c r="M43" s="586"/>
      <c r="N43" s="586"/>
      <c r="O43" s="586"/>
      <c r="P43" s="586"/>
      <c r="Q43" s="586"/>
      <c r="R43" s="586"/>
      <c r="S43" s="586"/>
      <c r="T43" s="586"/>
      <c r="U43" s="586"/>
      <c r="V43" s="586"/>
    </row>
    <row r="44" spans="1:22" x14ac:dyDescent="0.2">
      <c r="A44" s="586"/>
      <c r="B44" s="586"/>
      <c r="C44" s="586"/>
      <c r="D44" s="586"/>
      <c r="E44" s="586"/>
      <c r="F44" s="586"/>
      <c r="G44" s="586"/>
      <c r="H44" s="586"/>
      <c r="I44" s="586"/>
      <c r="J44" s="586"/>
      <c r="K44" s="586"/>
      <c r="L44" s="586"/>
      <c r="M44" s="586"/>
      <c r="N44" s="586"/>
      <c r="O44" s="586"/>
      <c r="P44" s="586"/>
      <c r="Q44" s="586"/>
      <c r="R44" s="586"/>
      <c r="S44" s="586"/>
      <c r="T44" s="586"/>
      <c r="U44" s="586"/>
      <c r="V44" s="586"/>
    </row>
    <row r="45" spans="1:22" x14ac:dyDescent="0.2">
      <c r="A45" s="586"/>
      <c r="B45" s="586"/>
      <c r="C45" s="586"/>
      <c r="D45" s="586"/>
      <c r="E45" s="586"/>
      <c r="F45" s="586"/>
      <c r="G45" s="586"/>
      <c r="H45" s="586"/>
      <c r="I45" s="586"/>
      <c r="J45" s="586"/>
      <c r="K45" s="586"/>
      <c r="L45" s="586"/>
      <c r="M45" s="586"/>
      <c r="N45" s="586"/>
      <c r="O45" s="586"/>
      <c r="P45" s="586"/>
      <c r="Q45" s="586"/>
      <c r="R45" s="586"/>
      <c r="S45" s="586"/>
      <c r="T45" s="586"/>
      <c r="U45" s="586"/>
      <c r="V45" s="586"/>
    </row>
    <row r="46" spans="1:22" x14ac:dyDescent="0.2">
      <c r="A46" s="586"/>
      <c r="B46" s="586"/>
      <c r="C46" s="586"/>
      <c r="D46" s="586"/>
      <c r="E46" s="586"/>
      <c r="F46" s="586"/>
      <c r="G46" s="586"/>
      <c r="H46" s="586"/>
      <c r="I46" s="586"/>
      <c r="J46" s="586"/>
      <c r="K46" s="586"/>
      <c r="L46" s="586"/>
      <c r="M46" s="586"/>
      <c r="N46" s="586"/>
      <c r="O46" s="586"/>
      <c r="P46" s="586"/>
      <c r="Q46" s="586"/>
      <c r="R46" s="586"/>
      <c r="S46" s="586"/>
      <c r="T46" s="586"/>
      <c r="U46" s="586"/>
      <c r="V46" s="586"/>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1E108-89A9-4ECA-AF5C-A78F470C79EC}">
  <sheetPr>
    <tabColor rgb="FF92D050"/>
  </sheetPr>
  <dimension ref="A1:R26"/>
  <sheetViews>
    <sheetView workbookViewId="0">
      <selection activeCell="D18" sqref="D18"/>
    </sheetView>
  </sheetViews>
  <sheetFormatPr baseColWidth="10" defaultColWidth="8.83203125" defaultRowHeight="15" x14ac:dyDescent="0.2"/>
  <sheetData>
    <row r="1" spans="1:18" x14ac:dyDescent="0.2">
      <c r="A1" s="39"/>
      <c r="B1" s="412" t="s">
        <v>558</v>
      </c>
      <c r="C1" s="39"/>
      <c r="D1" s="39" t="s">
        <v>124</v>
      </c>
      <c r="E1" s="39"/>
      <c r="F1" s="39"/>
      <c r="G1" s="39"/>
      <c r="H1" s="39"/>
      <c r="I1" s="39"/>
      <c r="J1" s="39"/>
      <c r="K1" s="39"/>
      <c r="L1" s="39"/>
      <c r="M1" s="39"/>
      <c r="N1" s="39"/>
      <c r="O1" s="39"/>
      <c r="P1" s="39"/>
      <c r="Q1" s="39"/>
      <c r="R1" s="39"/>
    </row>
    <row r="2" spans="1:18" x14ac:dyDescent="0.2">
      <c r="A2" s="39"/>
      <c r="B2" s="412">
        <v>1</v>
      </c>
      <c r="C2" s="39"/>
      <c r="D2" s="543">
        <v>0</v>
      </c>
      <c r="E2" s="39"/>
      <c r="F2" s="39"/>
      <c r="G2" s="39"/>
      <c r="H2" s="39"/>
      <c r="I2" s="39"/>
      <c r="J2" s="39"/>
      <c r="K2" s="39"/>
      <c r="L2" s="39"/>
      <c r="M2" s="39"/>
      <c r="N2" s="39"/>
      <c r="O2" s="39"/>
      <c r="P2" s="39"/>
      <c r="Q2" s="39"/>
      <c r="R2" s="39"/>
    </row>
    <row r="3" spans="1:18" x14ac:dyDescent="0.2">
      <c r="A3" s="39"/>
      <c r="B3" s="412">
        <v>2</v>
      </c>
      <c r="C3" s="39"/>
      <c r="D3" s="543">
        <v>0</v>
      </c>
      <c r="E3" s="39"/>
      <c r="F3" s="39"/>
      <c r="G3" s="39"/>
      <c r="H3" s="39"/>
      <c r="I3" s="39"/>
      <c r="J3" s="39"/>
      <c r="K3" s="39"/>
      <c r="L3" s="39"/>
      <c r="M3" s="39"/>
      <c r="N3" s="39"/>
      <c r="O3" s="39"/>
      <c r="P3" s="39"/>
      <c r="Q3" s="39"/>
      <c r="R3" s="39"/>
    </row>
    <row r="4" spans="1:18" x14ac:dyDescent="0.2">
      <c r="A4" s="39"/>
      <c r="B4" s="412">
        <v>3</v>
      </c>
      <c r="C4" s="39"/>
      <c r="D4" s="543">
        <v>0</v>
      </c>
      <c r="E4" s="39"/>
      <c r="F4" s="39"/>
      <c r="G4" s="39"/>
      <c r="H4" s="39"/>
      <c r="I4" s="39"/>
      <c r="J4" s="39"/>
      <c r="K4" s="39"/>
      <c r="L4" s="39"/>
      <c r="M4" s="39"/>
      <c r="N4" s="39"/>
      <c r="O4" s="39"/>
      <c r="P4" s="39"/>
      <c r="Q4" s="39"/>
      <c r="R4" s="39"/>
    </row>
    <row r="5" spans="1:18" x14ac:dyDescent="0.2">
      <c r="A5" s="39"/>
      <c r="B5" s="412">
        <v>4</v>
      </c>
      <c r="C5" s="39"/>
      <c r="D5" s="543">
        <v>0</v>
      </c>
      <c r="E5" s="39"/>
      <c r="F5" s="39"/>
      <c r="G5" s="39"/>
      <c r="H5" s="39"/>
      <c r="I5" s="39"/>
      <c r="J5" s="39"/>
      <c r="K5" s="39"/>
      <c r="L5" s="39"/>
      <c r="M5" s="39"/>
      <c r="N5" s="39"/>
      <c r="O5" s="39"/>
      <c r="P5" s="39"/>
      <c r="Q5" s="39"/>
      <c r="R5" s="39"/>
    </row>
    <row r="6" spans="1:18" x14ac:dyDescent="0.2">
      <c r="A6" s="39"/>
      <c r="B6" s="412">
        <v>5</v>
      </c>
      <c r="C6" s="39"/>
      <c r="D6" s="543">
        <v>0</v>
      </c>
      <c r="E6" s="39"/>
      <c r="F6" s="39"/>
      <c r="G6" s="39"/>
      <c r="H6" s="39"/>
      <c r="I6" s="39"/>
      <c r="J6" s="39"/>
      <c r="K6" s="39"/>
      <c r="L6" s="39"/>
      <c r="M6" s="39"/>
      <c r="N6" s="39"/>
      <c r="O6" s="39"/>
      <c r="P6" s="39"/>
      <c r="Q6" s="39"/>
      <c r="R6" s="39"/>
    </row>
    <row r="7" spans="1:18" x14ac:dyDescent="0.2">
      <c r="A7" s="39"/>
      <c r="B7" s="412">
        <v>6</v>
      </c>
      <c r="C7" s="39"/>
      <c r="D7" s="543">
        <v>0</v>
      </c>
      <c r="E7" s="39"/>
      <c r="F7" s="39"/>
      <c r="G7" s="39"/>
      <c r="H7" s="39"/>
      <c r="I7" s="39"/>
      <c r="J7" s="39"/>
      <c r="K7" s="39"/>
      <c r="L7" s="39"/>
      <c r="M7" s="39"/>
      <c r="N7" s="39"/>
      <c r="O7" s="39"/>
      <c r="P7" s="39"/>
      <c r="Q7" s="39"/>
      <c r="R7" s="39"/>
    </row>
    <row r="8" spans="1:18" x14ac:dyDescent="0.2">
      <c r="A8" s="39"/>
      <c r="B8" s="412">
        <v>7</v>
      </c>
      <c r="C8" s="39"/>
      <c r="D8" s="543">
        <v>0</v>
      </c>
      <c r="E8" s="39"/>
      <c r="F8" s="39"/>
      <c r="G8" s="39"/>
      <c r="H8" s="39"/>
      <c r="I8" s="39"/>
      <c r="J8" s="39"/>
      <c r="K8" s="39"/>
      <c r="L8" s="39"/>
      <c r="M8" s="39"/>
      <c r="N8" s="39"/>
      <c r="O8" s="39"/>
      <c r="P8" s="39"/>
      <c r="Q8" s="39"/>
      <c r="R8" s="39"/>
    </row>
    <row r="9" spans="1:18" x14ac:dyDescent="0.2">
      <c r="A9" s="39"/>
      <c r="B9" s="412">
        <v>8</v>
      </c>
      <c r="C9" s="39"/>
      <c r="D9" s="543">
        <v>0</v>
      </c>
      <c r="E9" s="39"/>
      <c r="F9" s="39"/>
      <c r="G9" s="39"/>
      <c r="H9" s="39"/>
      <c r="I9" s="39"/>
      <c r="J9" s="39"/>
      <c r="K9" s="39"/>
      <c r="L9" s="39"/>
      <c r="M9" s="39"/>
      <c r="N9" s="39"/>
      <c r="O9" s="39"/>
      <c r="P9" s="39"/>
      <c r="Q9" s="39"/>
      <c r="R9" s="39"/>
    </row>
    <row r="10" spans="1:18" x14ac:dyDescent="0.2">
      <c r="A10" s="39"/>
      <c r="B10" s="412">
        <v>9</v>
      </c>
      <c r="C10" s="39"/>
      <c r="D10" s="543">
        <v>0</v>
      </c>
      <c r="E10" s="39"/>
      <c r="F10" s="39"/>
      <c r="G10" s="39"/>
      <c r="H10" s="39"/>
      <c r="I10" s="39"/>
      <c r="J10" s="39"/>
      <c r="K10" s="39"/>
      <c r="L10" s="39"/>
      <c r="M10" s="39"/>
      <c r="N10" s="39"/>
      <c r="O10" s="39"/>
      <c r="P10" s="39"/>
      <c r="Q10" s="39"/>
      <c r="R10" s="39"/>
    </row>
    <row r="11" spans="1:18" x14ac:dyDescent="0.2">
      <c r="A11" s="39"/>
      <c r="B11" s="412">
        <v>10</v>
      </c>
      <c r="C11" s="39"/>
      <c r="D11" s="543">
        <v>0</v>
      </c>
      <c r="E11" s="39"/>
      <c r="F11" s="39"/>
      <c r="G11" s="39"/>
      <c r="H11" s="39"/>
      <c r="I11" s="39"/>
      <c r="J11" s="39"/>
      <c r="K11" s="39"/>
      <c r="L11" s="39"/>
      <c r="M11" s="39"/>
      <c r="N11" s="39"/>
      <c r="O11" s="39"/>
      <c r="P11" s="39"/>
      <c r="Q11" s="39"/>
      <c r="R11" s="39"/>
    </row>
    <row r="12" spans="1:18" x14ac:dyDescent="0.2">
      <c r="A12" s="39"/>
      <c r="B12" s="412">
        <v>11</v>
      </c>
      <c r="C12" s="39"/>
      <c r="D12" s="543">
        <v>0</v>
      </c>
      <c r="E12" s="39"/>
      <c r="F12" s="39"/>
      <c r="G12" s="39"/>
      <c r="H12" s="39"/>
      <c r="I12" s="39"/>
      <c r="J12" s="39"/>
      <c r="K12" s="39"/>
      <c r="L12" s="39"/>
      <c r="M12" s="39"/>
      <c r="N12" s="39"/>
      <c r="O12" s="39"/>
      <c r="P12" s="39"/>
      <c r="Q12" s="39"/>
      <c r="R12" s="39"/>
    </row>
    <row r="13" spans="1:18" x14ac:dyDescent="0.2">
      <c r="A13" s="39"/>
      <c r="B13" s="412">
        <v>12</v>
      </c>
      <c r="C13" s="39"/>
      <c r="D13" s="543">
        <v>0</v>
      </c>
      <c r="E13" s="39"/>
      <c r="F13" s="39"/>
      <c r="G13" s="39"/>
      <c r="H13" s="39"/>
      <c r="I13" s="39"/>
      <c r="J13" s="39"/>
      <c r="K13" s="39"/>
      <c r="L13" s="39"/>
      <c r="M13" s="39"/>
      <c r="N13" s="39"/>
      <c r="O13" s="39"/>
      <c r="P13" s="39"/>
      <c r="Q13" s="39"/>
      <c r="R13" s="39"/>
    </row>
    <row r="14" spans="1:18" x14ac:dyDescent="0.2">
      <c r="A14" s="39"/>
      <c r="B14" s="412">
        <v>13</v>
      </c>
      <c r="C14" s="39"/>
      <c r="D14" s="543">
        <v>0</v>
      </c>
      <c r="E14" s="39"/>
      <c r="F14" s="39"/>
      <c r="G14" s="39"/>
      <c r="H14" s="39"/>
      <c r="I14" s="39"/>
      <c r="J14" s="39"/>
      <c r="K14" s="39"/>
      <c r="L14" s="39"/>
      <c r="M14" s="39"/>
      <c r="N14" s="39"/>
      <c r="O14" s="39"/>
      <c r="P14" s="39"/>
      <c r="Q14" s="39"/>
      <c r="R14" s="39"/>
    </row>
    <row r="15" spans="1:18" x14ac:dyDescent="0.2">
      <c r="A15" s="39"/>
      <c r="B15" s="412">
        <v>14</v>
      </c>
      <c r="C15" s="39"/>
      <c r="D15" s="543">
        <v>0</v>
      </c>
      <c r="E15" s="39"/>
      <c r="F15" s="39"/>
      <c r="G15" s="39"/>
      <c r="H15" s="39"/>
      <c r="I15" s="39"/>
      <c r="J15" s="39"/>
      <c r="K15" s="39"/>
      <c r="L15" s="39"/>
      <c r="M15" s="39"/>
      <c r="N15" s="39"/>
      <c r="O15" s="39"/>
      <c r="P15" s="39"/>
      <c r="Q15" s="39"/>
      <c r="R15" s="39"/>
    </row>
    <row r="16" spans="1:18" x14ac:dyDescent="0.2">
      <c r="A16" s="39"/>
      <c r="B16" s="412">
        <v>15</v>
      </c>
      <c r="C16" s="39"/>
      <c r="D16" s="543">
        <v>0</v>
      </c>
      <c r="E16" s="39"/>
      <c r="F16" s="39"/>
      <c r="G16" s="39"/>
      <c r="H16" s="39"/>
      <c r="I16" s="39"/>
      <c r="J16" s="39"/>
      <c r="K16" s="39"/>
      <c r="L16" s="39"/>
      <c r="M16" s="39"/>
      <c r="N16" s="39"/>
      <c r="O16" s="39"/>
      <c r="P16" s="39"/>
      <c r="Q16" s="39"/>
      <c r="R16" s="39"/>
    </row>
    <row r="17" spans="1:18" x14ac:dyDescent="0.2">
      <c r="A17" s="39"/>
      <c r="B17" s="412">
        <v>16</v>
      </c>
      <c r="C17" s="39"/>
      <c r="D17" s="543">
        <v>0</v>
      </c>
      <c r="E17" s="39"/>
      <c r="F17" s="39"/>
      <c r="G17" s="39"/>
      <c r="H17" s="39"/>
      <c r="I17" s="39"/>
      <c r="J17" s="39"/>
      <c r="K17" s="39"/>
      <c r="L17" s="39"/>
      <c r="M17" s="39"/>
      <c r="N17" s="39"/>
      <c r="O17" s="39"/>
      <c r="P17" s="39"/>
      <c r="Q17" s="39"/>
      <c r="R17" s="39"/>
    </row>
    <row r="18" spans="1:18" x14ac:dyDescent="0.2">
      <c r="A18" s="39"/>
      <c r="B18" s="39"/>
      <c r="C18" s="39"/>
      <c r="D18" s="39"/>
      <c r="E18" s="39"/>
      <c r="F18" s="39"/>
      <c r="G18" s="39"/>
      <c r="H18" s="39"/>
      <c r="I18" s="39"/>
      <c r="J18" s="39"/>
      <c r="K18" s="39"/>
      <c r="L18" s="39"/>
      <c r="M18" s="39"/>
      <c r="N18" s="39"/>
      <c r="O18" s="39"/>
      <c r="P18" s="39"/>
      <c r="Q18" s="39"/>
      <c r="R18" s="39"/>
    </row>
    <row r="19" spans="1:18" x14ac:dyDescent="0.2">
      <c r="A19" s="39"/>
      <c r="B19" s="39" t="s">
        <v>559</v>
      </c>
      <c r="C19" s="39"/>
      <c r="D19" s="39">
        <f>SUM(D2:D17)/COUNTA(D2:D17)</f>
        <v>0</v>
      </c>
      <c r="E19" s="39"/>
      <c r="F19" s="39"/>
      <c r="G19" s="39"/>
      <c r="H19" s="39"/>
      <c r="I19" s="39"/>
      <c r="J19" s="39"/>
      <c r="K19" s="39"/>
      <c r="L19" s="39"/>
      <c r="M19" s="39"/>
      <c r="N19" s="39"/>
      <c r="O19" s="39"/>
      <c r="P19" s="39"/>
      <c r="Q19" s="39"/>
      <c r="R19" s="39"/>
    </row>
    <row r="20" spans="1:18" x14ac:dyDescent="0.2">
      <c r="A20" s="39"/>
      <c r="B20" s="39"/>
      <c r="C20" s="39"/>
      <c r="D20" s="39"/>
      <c r="E20" s="39"/>
      <c r="F20" s="39"/>
      <c r="G20" s="39"/>
      <c r="H20" s="39"/>
      <c r="I20" s="39"/>
      <c r="J20" s="39"/>
      <c r="K20" s="39"/>
      <c r="L20" s="39"/>
      <c r="M20" s="39"/>
      <c r="N20" s="39"/>
      <c r="O20" s="39"/>
      <c r="P20" s="39"/>
      <c r="Q20" s="39"/>
      <c r="R20" s="39"/>
    </row>
    <row r="21" spans="1:18" x14ac:dyDescent="0.2">
      <c r="A21" s="39"/>
      <c r="B21" s="39"/>
      <c r="C21" s="39"/>
      <c r="D21" s="39"/>
      <c r="E21" s="39"/>
      <c r="F21" s="39"/>
      <c r="G21" s="39"/>
      <c r="H21" s="39"/>
      <c r="I21" s="39"/>
      <c r="J21" s="39"/>
      <c r="K21" s="39"/>
      <c r="L21" s="39"/>
      <c r="M21" s="39"/>
      <c r="N21" s="39"/>
      <c r="O21" s="39"/>
      <c r="P21" s="39"/>
      <c r="Q21" s="39"/>
      <c r="R21" s="39"/>
    </row>
    <row r="22" spans="1:18" x14ac:dyDescent="0.2">
      <c r="A22" s="39"/>
      <c r="B22" s="39"/>
      <c r="C22" s="39"/>
      <c r="D22" s="39"/>
      <c r="E22" s="39"/>
      <c r="F22" s="39"/>
      <c r="G22" s="39"/>
      <c r="H22" s="39"/>
      <c r="I22" s="39"/>
      <c r="J22" s="39"/>
      <c r="K22" s="39"/>
      <c r="L22" s="39"/>
      <c r="M22" s="39"/>
      <c r="N22" s="39"/>
      <c r="O22" s="39"/>
      <c r="P22" s="39"/>
      <c r="Q22" s="39"/>
      <c r="R22" s="39"/>
    </row>
    <row r="23" spans="1:18" x14ac:dyDescent="0.2">
      <c r="A23" s="39"/>
      <c r="B23" s="39"/>
      <c r="C23" s="39"/>
      <c r="D23" s="39"/>
      <c r="E23" s="39"/>
      <c r="F23" s="39"/>
      <c r="G23" s="39"/>
      <c r="H23" s="39"/>
      <c r="I23" s="39"/>
      <c r="J23" s="39"/>
      <c r="K23" s="39"/>
      <c r="L23" s="39"/>
      <c r="M23" s="39"/>
      <c r="N23" s="39"/>
      <c r="O23" s="39"/>
      <c r="P23" s="39"/>
      <c r="Q23" s="39"/>
      <c r="R23" s="39"/>
    </row>
    <row r="24" spans="1:18" x14ac:dyDescent="0.2">
      <c r="A24" s="39"/>
      <c r="B24" s="39"/>
      <c r="C24" s="39"/>
      <c r="D24" s="39"/>
      <c r="E24" s="39"/>
      <c r="F24" s="39"/>
      <c r="G24" s="39"/>
      <c r="H24" s="39"/>
      <c r="I24" s="39"/>
      <c r="J24" s="39"/>
      <c r="K24" s="39"/>
      <c r="L24" s="39"/>
      <c r="M24" s="39"/>
      <c r="N24" s="39"/>
      <c r="O24" s="39"/>
      <c r="P24" s="39"/>
      <c r="Q24" s="39"/>
      <c r="R24" s="39"/>
    </row>
    <row r="25" spans="1:18" x14ac:dyDescent="0.2">
      <c r="A25" s="39"/>
      <c r="B25" s="39"/>
      <c r="C25" s="39"/>
      <c r="D25" s="39"/>
      <c r="E25" s="39"/>
      <c r="F25" s="39"/>
      <c r="G25" s="39"/>
      <c r="H25" s="39"/>
      <c r="I25" s="39"/>
      <c r="J25" s="39"/>
      <c r="K25" s="39"/>
      <c r="L25" s="39"/>
      <c r="M25" s="39"/>
      <c r="N25" s="39"/>
      <c r="O25" s="39"/>
      <c r="P25" s="39"/>
      <c r="Q25" s="39"/>
      <c r="R25" s="39"/>
    </row>
    <row r="26" spans="1:18" x14ac:dyDescent="0.2">
      <c r="A26" s="39"/>
      <c r="B26" s="39"/>
      <c r="C26" s="39"/>
      <c r="D26" s="39"/>
      <c r="E26" s="39"/>
      <c r="F26" s="39"/>
      <c r="G26" s="39"/>
      <c r="H26" s="39"/>
      <c r="I26" s="39"/>
      <c r="J26" s="39"/>
      <c r="K26" s="39"/>
      <c r="L26" s="39"/>
      <c r="M26" s="39"/>
      <c r="N26" s="39"/>
      <c r="O26" s="39"/>
      <c r="P26" s="39"/>
      <c r="Q26" s="39"/>
      <c r="R26" s="39"/>
    </row>
  </sheetData>
  <conditionalFormatting sqref="D19">
    <cfRule type="cellIs" dxfId="211" priority="1" operator="greaterThan">
      <formula>3.2999</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AB0A2-CD45-47D4-8A21-4F5CF9E3533C}">
  <sheetPr>
    <tabColor theme="5" tint="0.39997558519241921"/>
  </sheetPr>
  <dimension ref="A1:W92"/>
  <sheetViews>
    <sheetView topLeftCell="A53" zoomScale="115" zoomScaleNormal="115" workbookViewId="0">
      <selection activeCell="C73" sqref="C73"/>
    </sheetView>
  </sheetViews>
  <sheetFormatPr baseColWidth="10" defaultColWidth="8.83203125" defaultRowHeight="15" x14ac:dyDescent="0.2"/>
  <cols>
    <col min="1" max="1" width="54" customWidth="1"/>
    <col min="2" max="2" width="32.33203125" customWidth="1"/>
    <col min="3" max="3" width="37" customWidth="1"/>
    <col min="4" max="4" width="19.83203125" customWidth="1"/>
    <col min="5" max="5" width="24.1640625" customWidth="1"/>
    <col min="8" max="18" width="5.1640625" style="673" customWidth="1"/>
  </cols>
  <sheetData>
    <row r="1" spans="1:23" ht="17" thickBot="1" x14ac:dyDescent="0.25">
      <c r="A1" s="861" t="s">
        <v>299</v>
      </c>
      <c r="B1" s="862"/>
      <c r="C1" s="862"/>
      <c r="D1" s="862"/>
      <c r="E1" s="863"/>
      <c r="F1" s="39"/>
      <c r="G1" s="39"/>
      <c r="H1" s="799"/>
      <c r="I1" s="799"/>
      <c r="J1" s="799"/>
      <c r="K1" s="799"/>
      <c r="L1" s="799"/>
      <c r="M1" s="799"/>
      <c r="N1" s="799"/>
      <c r="O1" s="799"/>
      <c r="P1" s="799"/>
      <c r="Q1" s="799"/>
      <c r="R1" s="799" t="s">
        <v>824</v>
      </c>
      <c r="S1" s="39"/>
      <c r="T1" s="39"/>
      <c r="U1" s="39"/>
      <c r="V1" s="39"/>
      <c r="W1" s="39"/>
    </row>
    <row r="2" spans="1:23" x14ac:dyDescent="0.2">
      <c r="A2" s="39"/>
      <c r="B2" s="99" t="s">
        <v>819</v>
      </c>
      <c r="C2" s="39"/>
      <c r="D2" s="779" t="s">
        <v>812</v>
      </c>
      <c r="E2" s="39"/>
      <c r="F2" s="39"/>
      <c r="G2" s="39"/>
      <c r="H2" s="799"/>
      <c r="I2" s="799"/>
      <c r="J2" s="799"/>
      <c r="K2" s="799"/>
      <c r="L2" s="799"/>
      <c r="M2" s="799"/>
      <c r="N2" s="799"/>
      <c r="O2" s="799"/>
      <c r="P2" s="799"/>
      <c r="Q2" s="799"/>
      <c r="R2" s="799" t="s">
        <v>813</v>
      </c>
      <c r="S2" s="39"/>
      <c r="T2" s="39"/>
      <c r="U2" s="39"/>
      <c r="V2" s="39"/>
      <c r="W2" s="39"/>
    </row>
    <row r="3" spans="1:23" x14ac:dyDescent="0.2">
      <c r="A3" s="75" t="s">
        <v>827</v>
      </c>
      <c r="B3" s="781" t="str">
        <f>IF('Standard Tests'!G28&gt;-1,"None",IF(AND('Standard Tests'!G28&lt;=-1,'Standard Tests'!G28&gt;-2),"MCI",IF(AND('Standard Tests'!G28&lt;=-2,'Standard Tests'!G28&gt;-3),"Mild Dementia","Moderate Dementia")))</f>
        <v>Mild Dementia</v>
      </c>
      <c r="C3" s="774" t="s">
        <v>818</v>
      </c>
      <c r="D3" s="780" t="s">
        <v>847</v>
      </c>
      <c r="E3" s="39"/>
      <c r="F3" s="39"/>
      <c r="G3" s="39"/>
      <c r="H3" s="799"/>
      <c r="I3" s="799"/>
      <c r="J3" s="799"/>
      <c r="K3" s="799"/>
      <c r="L3" s="799"/>
      <c r="M3" s="799"/>
      <c r="N3" s="799"/>
      <c r="O3" s="799"/>
      <c r="P3" s="799"/>
      <c r="Q3" s="799"/>
      <c r="R3" s="6" t="s">
        <v>817</v>
      </c>
      <c r="S3" s="39"/>
      <c r="T3" s="39"/>
      <c r="U3" s="39"/>
      <c r="V3" s="39"/>
      <c r="W3" s="39"/>
    </row>
    <row r="4" spans="1:23" ht="16" thickBot="1" x14ac:dyDescent="0.25">
      <c r="A4" s="75"/>
      <c r="B4" s="76"/>
      <c r="C4" s="39"/>
      <c r="D4" s="39"/>
      <c r="E4" s="39"/>
      <c r="F4" s="39"/>
      <c r="G4" s="39"/>
      <c r="H4" s="799"/>
      <c r="I4" s="799"/>
      <c r="J4" s="799"/>
      <c r="K4" s="799"/>
      <c r="L4" s="799"/>
      <c r="M4" s="799"/>
      <c r="N4" s="799"/>
      <c r="O4" s="799"/>
      <c r="P4" s="799"/>
      <c r="Q4" s="799"/>
      <c r="R4" s="799"/>
      <c r="S4" s="39"/>
      <c r="T4" s="39"/>
      <c r="U4" s="39"/>
      <c r="V4" s="39"/>
      <c r="W4" s="39"/>
    </row>
    <row r="5" spans="1:23" x14ac:dyDescent="0.2">
      <c r="A5" s="15" t="s">
        <v>83</v>
      </c>
      <c r="B5" s="782" t="s">
        <v>816</v>
      </c>
      <c r="C5" s="782"/>
      <c r="D5" s="787" t="s">
        <v>828</v>
      </c>
      <c r="E5" s="575"/>
      <c r="F5" s="822" t="s">
        <v>844</v>
      </c>
      <c r="G5" s="76"/>
      <c r="H5" s="799"/>
      <c r="I5" s="799"/>
      <c r="J5" s="799"/>
      <c r="K5" s="799"/>
      <c r="L5" s="799"/>
      <c r="M5" s="799"/>
      <c r="N5" s="799"/>
      <c r="O5" s="799"/>
      <c r="P5" s="799"/>
      <c r="Q5" s="799"/>
      <c r="R5" s="799"/>
      <c r="S5" s="39"/>
      <c r="T5" s="39"/>
      <c r="U5" s="39"/>
      <c r="V5" s="39"/>
      <c r="W5" s="39"/>
    </row>
    <row r="6" spans="1:23" ht="27" customHeight="1" x14ac:dyDescent="0.2">
      <c r="A6" s="93" t="s">
        <v>826</v>
      </c>
      <c r="B6" s="94"/>
      <c r="C6" s="39"/>
      <c r="D6" s="788" t="s">
        <v>840</v>
      </c>
      <c r="E6" s="577"/>
      <c r="F6" s="823"/>
      <c r="G6" s="39"/>
      <c r="H6" s="799" t="s">
        <v>845</v>
      </c>
      <c r="I6" s="799"/>
      <c r="J6" s="799"/>
      <c r="K6" s="799"/>
      <c r="L6" s="799"/>
      <c r="M6" s="799"/>
      <c r="N6" s="799"/>
      <c r="O6" s="799"/>
      <c r="P6" s="799"/>
      <c r="Q6" s="799"/>
      <c r="R6" s="799"/>
      <c r="S6" s="39"/>
      <c r="T6" s="39"/>
      <c r="U6" s="39"/>
      <c r="V6" s="39"/>
      <c r="W6" s="39"/>
    </row>
    <row r="7" spans="1:23" x14ac:dyDescent="0.2">
      <c r="A7" s="95" t="s">
        <v>132</v>
      </c>
      <c r="B7" s="18" t="str">
        <f>IF(AND('Standard Tests'!B16&lt;10,'Standard Tests'!B19&lt;19),"YES - Valid Measure","NO - Scores too high")</f>
        <v>YES - Valid Measure</v>
      </c>
      <c r="C7" s="39"/>
      <c r="D7" s="789" t="str">
        <f>IF(OR(D3="None",D3="MCI"),"NO","Yes")</f>
        <v>Yes</v>
      </c>
      <c r="E7" s="790" t="s">
        <v>822</v>
      </c>
      <c r="F7" s="823"/>
      <c r="G7" s="39"/>
      <c r="H7" s="799"/>
      <c r="I7" s="799"/>
      <c r="J7" s="799"/>
      <c r="K7" s="799"/>
      <c r="L7" s="799"/>
      <c r="M7" s="799"/>
      <c r="N7" s="799"/>
      <c r="O7" s="799"/>
      <c r="P7" s="799"/>
      <c r="Q7" s="799"/>
      <c r="R7" s="799"/>
      <c r="S7" s="39"/>
      <c r="T7" s="39"/>
      <c r="U7" s="39"/>
      <c r="V7" s="39"/>
      <c r="W7" s="39"/>
    </row>
    <row r="8" spans="1:23" ht="17" x14ac:dyDescent="0.2">
      <c r="A8" s="94" t="s">
        <v>133</v>
      </c>
      <c r="B8" s="96">
        <f>'Standard Tests'!B19-('Standard Tests'!B21+'Standard Tests'!B20+'Standard Tests'!B18)+'Standard Tests'!B16</f>
        <v>-4</v>
      </c>
      <c r="C8" s="39"/>
      <c r="D8" s="788" t="s">
        <v>821</v>
      </c>
      <c r="E8" s="790">
        <f>IF(D3="None","0.11-0.33 Not usable",IF(D3="MCI","0.31-0.81 Not Usable",IF(D3="Mild Dementia",0.9,IF(D3="Moderate Dementia",0.9))))</f>
        <v>0.9</v>
      </c>
      <c r="F8" s="823">
        <f>1-E8</f>
        <v>9.9999999999999978E-2</v>
      </c>
      <c r="G8" s="39"/>
      <c r="H8" s="824">
        <f>IF(D10="Fail",F8,1)</f>
        <v>9.9999999999999978E-2</v>
      </c>
      <c r="I8" s="824" t="s">
        <v>552</v>
      </c>
      <c r="J8" s="824">
        <f>IF(D16="Fail",F14,1)</f>
        <v>1</v>
      </c>
      <c r="K8" s="824" t="s">
        <v>552</v>
      </c>
      <c r="L8" s="824">
        <f>IF(D21="Fail",F20,1)</f>
        <v>6.0000000000000053E-2</v>
      </c>
      <c r="M8" s="824" t="s">
        <v>552</v>
      </c>
      <c r="N8" s="824">
        <f>IF(D32="Fail",F28,1)</f>
        <v>1</v>
      </c>
      <c r="O8" s="824" t="s">
        <v>552</v>
      </c>
      <c r="P8" s="824">
        <f>IF(D36="Fail",F35,1)</f>
        <v>1</v>
      </c>
      <c r="Q8" s="824" t="s">
        <v>552</v>
      </c>
      <c r="R8" s="824">
        <f>IF(D40="Fail",F39,1)</f>
        <v>1</v>
      </c>
      <c r="S8" s="39"/>
      <c r="T8" s="39"/>
      <c r="U8" s="39"/>
      <c r="V8" s="39"/>
      <c r="W8" s="39"/>
    </row>
    <row r="9" spans="1:23" x14ac:dyDescent="0.2">
      <c r="A9" s="94"/>
      <c r="B9" s="96"/>
      <c r="C9" s="39"/>
      <c r="D9" s="791" t="str">
        <f>IF(AND(D7="Yes",D3="Mild Dementia"),"9",IF(AND(D7="Yes",D3="Moderate Dementia"),"8","N/A"))</f>
        <v>8</v>
      </c>
      <c r="E9" s="792">
        <f>B8-D9</f>
        <v>-12</v>
      </c>
      <c r="F9" s="823"/>
      <c r="G9" s="39"/>
      <c r="H9" s="799"/>
      <c r="I9" s="799"/>
      <c r="J9" s="799"/>
      <c r="K9" s="799"/>
      <c r="L9" s="799"/>
      <c r="M9" s="799"/>
      <c r="N9" s="799"/>
      <c r="O9" s="799"/>
      <c r="P9" s="799"/>
      <c r="Q9" s="799"/>
      <c r="R9" s="799"/>
      <c r="S9" s="39"/>
      <c r="T9" s="39"/>
      <c r="U9" s="39"/>
      <c r="V9" s="39"/>
      <c r="W9" s="39"/>
    </row>
    <row r="10" spans="1:23" x14ac:dyDescent="0.2">
      <c r="A10" s="95" t="s">
        <v>134</v>
      </c>
      <c r="B10" s="18" t="str">
        <f>IF(AND('Standard Tests'!B16&lt;10,'Standard Tests'!B19&lt;19),IF(B8&gt;=12,"Pass","FAIL"),"N/A")</f>
        <v>FAIL</v>
      </c>
      <c r="C10" s="801" t="s">
        <v>134</v>
      </c>
      <c r="D10" s="793" t="str">
        <f>IF(ISNUMBER(E9),IF(E9&gt;=1,"Pass","FAIL"),"N/A")</f>
        <v>FAIL</v>
      </c>
      <c r="E10" s="794"/>
      <c r="F10" s="823"/>
      <c r="G10" s="39"/>
      <c r="H10" s="825" t="s">
        <v>310</v>
      </c>
      <c r="I10" s="870">
        <f>H8*J8*L8*N8*P8*R8</f>
        <v>6.0000000000000036E-3</v>
      </c>
      <c r="J10" s="870"/>
      <c r="K10" s="870"/>
      <c r="L10" s="870"/>
      <c r="M10" s="825" t="s">
        <v>846</v>
      </c>
      <c r="N10" s="825"/>
      <c r="O10" s="825"/>
      <c r="P10" s="825"/>
      <c r="Q10" s="799"/>
      <c r="R10" s="799"/>
      <c r="S10" s="39"/>
      <c r="T10" s="39"/>
      <c r="U10" s="39"/>
      <c r="V10" s="39"/>
      <c r="W10" s="39"/>
    </row>
    <row r="11" spans="1:23" x14ac:dyDescent="0.2">
      <c r="A11" s="17" t="s">
        <v>84</v>
      </c>
      <c r="B11" s="43" t="s">
        <v>816</v>
      </c>
      <c r="C11" s="17"/>
      <c r="D11" s="795" t="s">
        <v>829</v>
      </c>
      <c r="E11" s="794"/>
      <c r="F11" s="823"/>
      <c r="G11" s="39"/>
      <c r="H11" s="825" t="s">
        <v>310</v>
      </c>
      <c r="I11" s="871">
        <f>I10</f>
        <v>6.0000000000000036E-3</v>
      </c>
      <c r="J11" s="871"/>
      <c r="K11" s="871"/>
      <c r="L11" s="871"/>
      <c r="M11" s="825"/>
      <c r="N11" s="825"/>
      <c r="O11" s="825"/>
      <c r="P11" s="825"/>
      <c r="Q11" s="799"/>
      <c r="R11" s="799"/>
      <c r="S11" s="39"/>
      <c r="T11" s="39"/>
      <c r="U11" s="39"/>
      <c r="V11" s="39"/>
      <c r="W11" s="39"/>
    </row>
    <row r="12" spans="1:23" ht="33.75" customHeight="1" x14ac:dyDescent="0.2">
      <c r="A12" s="93" t="s">
        <v>825</v>
      </c>
      <c r="B12" s="94"/>
      <c r="C12" s="802"/>
      <c r="D12" s="788"/>
      <c r="E12" s="794"/>
      <c r="F12" s="823"/>
      <c r="G12" s="39"/>
      <c r="H12" s="825"/>
      <c r="I12" s="872">
        <f>I11</f>
        <v>6.0000000000000036E-3</v>
      </c>
      <c r="J12" s="872"/>
      <c r="K12" s="872"/>
      <c r="L12" s="872"/>
      <c r="M12" s="825"/>
      <c r="N12" s="825"/>
      <c r="O12" s="825"/>
      <c r="P12" s="825"/>
      <c r="Q12" s="799"/>
      <c r="R12" s="799"/>
      <c r="S12" s="39"/>
      <c r="T12" s="39"/>
      <c r="U12" s="39"/>
      <c r="V12" s="39"/>
      <c r="W12" s="39"/>
    </row>
    <row r="13" spans="1:23" ht="17" x14ac:dyDescent="0.2">
      <c r="A13" s="94" t="s">
        <v>137</v>
      </c>
      <c r="B13" s="96">
        <f>IF('Standard Tests'!B16&gt;=8,0,IF('Standard Tests'!B16=7,2,IF('Standard Tests'!B16=6,3,IF('Standard Tests'!B16=5,5,6))))</f>
        <v>6</v>
      </c>
      <c r="C13" s="802"/>
      <c r="D13" s="788" t="s">
        <v>823</v>
      </c>
      <c r="E13" s="790" t="s">
        <v>822</v>
      </c>
      <c r="F13" s="823"/>
      <c r="G13" s="39"/>
      <c r="H13" s="799"/>
      <c r="I13" s="799"/>
      <c r="J13" s="799"/>
      <c r="K13" s="799"/>
      <c r="L13" s="799"/>
      <c r="M13" s="799"/>
      <c r="N13" s="799"/>
      <c r="O13" s="799"/>
      <c r="P13" s="799"/>
      <c r="Q13" s="799"/>
      <c r="R13" s="799"/>
      <c r="S13" s="39"/>
      <c r="T13" s="39"/>
      <c r="U13" s="39"/>
      <c r="V13" s="39"/>
      <c r="W13" s="39"/>
    </row>
    <row r="14" spans="1:23" x14ac:dyDescent="0.2">
      <c r="A14" s="94" t="s">
        <v>138</v>
      </c>
      <c r="B14" s="97">
        <f>IF('Standard Tests'!B19&gt;=18,0,IF('Standard Tests'!B19=17,1,IF(OR('Standard Tests'!B19=16,'Standard Tests'!B19=15),2,IF(OR('Standard Tests'!B19=13,'Standard Tests'!B19=14),3,IF(OR('Standard Tests'!B19=11,'Standard Tests'!B19=12),4,IF('Standard Tests'!B19=10,5,6))))))</f>
        <v>2</v>
      </c>
      <c r="C14" s="802"/>
      <c r="D14" s="788">
        <f>IF(D3="None",3,IF(D3="MCI",3,IF(D3="Mild Dementia",6,IF(D3="Moderate Dementia",9))))</f>
        <v>9</v>
      </c>
      <c r="E14" s="790">
        <f>IF(D3="None",0.92,IF(D3="MCI",0.91,IF(D3="Mild Dementia",0.93,IF(D3="Moderate Dementia",0.92))))</f>
        <v>0.92</v>
      </c>
      <c r="F14" s="823">
        <f>1-E14</f>
        <v>7.999999999999996E-2</v>
      </c>
      <c r="G14" s="39"/>
      <c r="H14" s="799"/>
      <c r="I14" s="799"/>
      <c r="J14" s="799"/>
      <c r="K14" s="799"/>
      <c r="L14" s="799"/>
      <c r="M14" s="799"/>
      <c r="N14" s="799"/>
      <c r="O14" s="799"/>
      <c r="P14" s="799"/>
      <c r="Q14" s="799"/>
      <c r="R14" s="799"/>
      <c r="S14" s="39"/>
      <c r="T14" s="39"/>
      <c r="U14" s="39"/>
      <c r="V14" s="39"/>
      <c r="W14" s="39"/>
    </row>
    <row r="15" spans="1:23" x14ac:dyDescent="0.2">
      <c r="A15" s="94" t="s">
        <v>136</v>
      </c>
      <c r="B15" s="96">
        <f>B14+B13</f>
        <v>8</v>
      </c>
      <c r="C15" s="802"/>
      <c r="D15" s="788"/>
      <c r="E15" s="794"/>
      <c r="F15" s="823"/>
      <c r="G15" s="39"/>
      <c r="H15" s="799"/>
      <c r="I15" s="799"/>
      <c r="J15" s="799"/>
      <c r="K15" s="799"/>
      <c r="L15" s="799"/>
      <c r="M15" s="799"/>
      <c r="N15" s="799"/>
      <c r="O15" s="799"/>
      <c r="P15" s="799"/>
      <c r="Q15" s="799"/>
      <c r="R15" s="799"/>
      <c r="S15" s="39"/>
      <c r="T15" s="39"/>
      <c r="U15" s="39"/>
      <c r="V15" s="39"/>
      <c r="W15" s="39"/>
    </row>
    <row r="16" spans="1:23" x14ac:dyDescent="0.2">
      <c r="A16" s="95" t="s">
        <v>134</v>
      </c>
      <c r="B16" s="18" t="str">
        <f>IF(B15&gt;3,"FAIL","Pass")</f>
        <v>FAIL</v>
      </c>
      <c r="C16" s="801" t="s">
        <v>134</v>
      </c>
      <c r="D16" s="793" t="str">
        <f>IF(B15&lt;D14,"Pass","FAIL")</f>
        <v>Pass</v>
      </c>
      <c r="E16" s="794"/>
      <c r="F16" s="823"/>
      <c r="G16" s="39"/>
      <c r="H16" s="799"/>
      <c r="I16" s="799"/>
      <c r="J16" s="799"/>
      <c r="K16" s="799"/>
      <c r="L16" s="799"/>
      <c r="M16" s="799"/>
      <c r="N16" s="799"/>
      <c r="O16" s="799"/>
      <c r="P16" s="799"/>
      <c r="Q16" s="799"/>
      <c r="R16" s="799"/>
      <c r="S16" s="39"/>
      <c r="T16" s="39"/>
      <c r="U16" s="39"/>
      <c r="V16" s="39"/>
      <c r="W16" s="39"/>
    </row>
    <row r="17" spans="1:23" x14ac:dyDescent="0.2">
      <c r="A17" s="778" t="s">
        <v>814</v>
      </c>
      <c r="B17" s="784"/>
      <c r="C17" s="803"/>
      <c r="D17" s="796" t="s">
        <v>830</v>
      </c>
      <c r="E17" s="794"/>
      <c r="F17" s="823"/>
      <c r="G17" s="39"/>
      <c r="H17" s="799"/>
      <c r="I17" s="799"/>
      <c r="J17" s="799"/>
      <c r="K17" s="799"/>
      <c r="L17" s="799"/>
      <c r="M17" s="799"/>
      <c r="N17" s="799"/>
      <c r="O17" s="799"/>
      <c r="P17" s="799"/>
      <c r="Q17" s="799"/>
      <c r="R17" s="799"/>
      <c r="S17" s="39"/>
      <c r="T17" s="39"/>
      <c r="U17" s="39"/>
      <c r="V17" s="39"/>
      <c r="W17" s="39"/>
    </row>
    <row r="18" spans="1:23" x14ac:dyDescent="0.2">
      <c r="A18" s="197" t="s">
        <v>848</v>
      </c>
      <c r="B18" s="785"/>
      <c r="C18" s="804"/>
      <c r="D18" s="796"/>
      <c r="E18" s="794"/>
      <c r="F18" s="823"/>
      <c r="G18" s="39"/>
      <c r="H18" s="799"/>
      <c r="I18" s="799"/>
      <c r="J18" s="799"/>
      <c r="K18" s="799"/>
      <c r="L18" s="799"/>
      <c r="M18" s="799"/>
      <c r="N18" s="799"/>
      <c r="O18" s="799"/>
      <c r="P18" s="799"/>
      <c r="Q18" s="799"/>
      <c r="R18" s="799"/>
      <c r="S18" s="39"/>
      <c r="T18" s="39"/>
      <c r="U18" s="39"/>
      <c r="V18" s="39"/>
      <c r="W18" s="39"/>
    </row>
    <row r="19" spans="1:23" x14ac:dyDescent="0.2">
      <c r="A19" s="249" t="s">
        <v>815</v>
      </c>
      <c r="B19" s="785"/>
      <c r="C19" s="804"/>
      <c r="D19" s="793">
        <f>'Standard Tests'!C16</f>
        <v>2</v>
      </c>
      <c r="E19" s="790" t="s">
        <v>822</v>
      </c>
      <c r="F19" s="823"/>
      <c r="G19" s="39"/>
      <c r="H19" s="799"/>
      <c r="I19" s="799"/>
      <c r="J19" s="799"/>
      <c r="K19" s="799"/>
      <c r="L19" s="799"/>
      <c r="M19" s="799"/>
      <c r="N19" s="799"/>
      <c r="O19" s="799"/>
      <c r="P19" s="799"/>
      <c r="Q19" s="799"/>
      <c r="R19" s="799"/>
      <c r="S19" s="39"/>
      <c r="T19" s="39"/>
      <c r="U19" s="39"/>
      <c r="V19" s="39"/>
      <c r="W19" s="39"/>
    </row>
    <row r="20" spans="1:23" ht="17" x14ac:dyDescent="0.2">
      <c r="A20" s="249" t="s">
        <v>821</v>
      </c>
      <c r="B20" s="84"/>
      <c r="C20" s="805"/>
      <c r="D20" s="797">
        <f>IF(D3="None",6,IF(D3="MCI",4,IF(D3="Mild Dementia",4,IF(D3="Moderate Dementia",3))))</f>
        <v>3</v>
      </c>
      <c r="E20" s="790">
        <f>IF(D3="None",0.96,IF(D3="MCI",0.96,IF(D3="Mild Dementia",0.9,IF(D3="Moderate Dementia",0.94))))</f>
        <v>0.94</v>
      </c>
      <c r="F20" s="823">
        <f>1-E20</f>
        <v>6.0000000000000053E-2</v>
      </c>
      <c r="G20" s="39"/>
      <c r="H20" s="799"/>
      <c r="I20" s="799"/>
      <c r="J20" s="799"/>
      <c r="K20" s="799"/>
      <c r="L20" s="799"/>
      <c r="M20" s="799"/>
      <c r="N20" s="799"/>
      <c r="O20" s="799"/>
      <c r="P20" s="799"/>
      <c r="Q20" s="799"/>
      <c r="R20" s="799"/>
      <c r="S20" s="39"/>
      <c r="T20" s="39"/>
      <c r="U20" s="39"/>
      <c r="V20" s="39"/>
      <c r="W20" s="39"/>
    </row>
    <row r="21" spans="1:23" ht="16" thickBot="1" x14ac:dyDescent="0.25">
      <c r="A21" s="39"/>
      <c r="B21" s="786"/>
      <c r="C21" s="801" t="s">
        <v>134</v>
      </c>
      <c r="D21" s="798" t="str">
        <f>IF(D19&gt;D20,"Pass","FAIL")</f>
        <v>FAIL</v>
      </c>
      <c r="E21" s="581"/>
      <c r="F21" s="482"/>
      <c r="G21" s="39"/>
      <c r="H21" s="799"/>
      <c r="I21" s="799"/>
      <c r="J21" s="799"/>
      <c r="K21" s="799"/>
      <c r="L21" s="799"/>
      <c r="M21" s="799"/>
      <c r="N21" s="799"/>
      <c r="O21" s="799"/>
      <c r="P21" s="799"/>
      <c r="Q21" s="799"/>
      <c r="R21" s="799"/>
      <c r="S21" s="39"/>
      <c r="T21" s="39"/>
      <c r="U21" s="39"/>
      <c r="V21" s="39"/>
      <c r="W21" s="39"/>
    </row>
    <row r="22" spans="1:23" x14ac:dyDescent="0.2">
      <c r="A22" s="76"/>
      <c r="B22" s="76"/>
      <c r="C22" s="76"/>
      <c r="D22" s="39"/>
      <c r="E22" s="39"/>
      <c r="F22" s="99"/>
      <c r="G22" s="39"/>
      <c r="H22" s="799"/>
      <c r="I22" s="799"/>
      <c r="J22" s="799"/>
      <c r="K22" s="799"/>
      <c r="L22" s="799"/>
      <c r="M22" s="799"/>
      <c r="N22" s="799"/>
      <c r="O22" s="799"/>
      <c r="P22" s="799"/>
      <c r="Q22" s="799"/>
      <c r="R22" s="799"/>
      <c r="S22" s="39"/>
      <c r="T22" s="39"/>
      <c r="U22" s="39"/>
      <c r="V22" s="39"/>
      <c r="W22" s="39"/>
    </row>
    <row r="23" spans="1:23" x14ac:dyDescent="0.2">
      <c r="A23" s="76"/>
      <c r="B23" s="76"/>
      <c r="C23" s="76"/>
      <c r="D23" s="39"/>
      <c r="E23" s="39"/>
      <c r="F23" s="99"/>
      <c r="G23" s="39"/>
      <c r="H23" s="799"/>
      <c r="I23" s="799"/>
      <c r="J23" s="799"/>
      <c r="K23" s="799"/>
      <c r="L23" s="799"/>
      <c r="M23" s="799"/>
      <c r="N23" s="799"/>
      <c r="O23" s="799"/>
      <c r="P23" s="799"/>
      <c r="Q23" s="799"/>
      <c r="R23" s="799"/>
      <c r="S23" s="39"/>
      <c r="T23" s="39"/>
      <c r="U23" s="39"/>
      <c r="V23" s="39"/>
      <c r="W23" s="39"/>
    </row>
    <row r="24" spans="1:23" x14ac:dyDescent="0.2">
      <c r="A24" s="75" t="s">
        <v>843</v>
      </c>
      <c r="B24" s="75" t="s">
        <v>331</v>
      </c>
      <c r="C24" s="76"/>
      <c r="D24" s="39"/>
      <c r="E24" s="39"/>
      <c r="F24" s="99"/>
      <c r="G24" s="39"/>
      <c r="H24" s="799"/>
      <c r="I24" s="799"/>
      <c r="J24" s="799"/>
      <c r="K24" s="799"/>
      <c r="L24" s="799"/>
      <c r="M24" s="799"/>
      <c r="N24" s="799"/>
      <c r="O24" s="799"/>
      <c r="P24" s="799"/>
      <c r="Q24" s="799"/>
      <c r="R24" s="799"/>
      <c r="S24" s="39"/>
      <c r="T24" s="39"/>
      <c r="U24" s="39"/>
      <c r="V24" s="39"/>
      <c r="W24" s="39"/>
    </row>
    <row r="25" spans="1:23" ht="16" thickBot="1" x14ac:dyDescent="0.25">
      <c r="A25" s="75"/>
      <c r="B25" s="75"/>
      <c r="C25" s="76"/>
      <c r="D25" s="39"/>
      <c r="E25" s="39"/>
      <c r="F25" s="99"/>
      <c r="G25" s="39"/>
      <c r="H25" s="799"/>
      <c r="I25" s="799"/>
      <c r="J25" s="799"/>
      <c r="K25" s="799"/>
      <c r="L25" s="799"/>
      <c r="M25" s="799"/>
      <c r="N25" s="799"/>
      <c r="O25" s="799"/>
      <c r="P25" s="799"/>
      <c r="Q25" s="799"/>
      <c r="R25" s="799"/>
      <c r="S25" s="39"/>
      <c r="T25" s="39"/>
      <c r="U25" s="39"/>
      <c r="V25" s="39"/>
      <c r="W25" s="39"/>
    </row>
    <row r="26" spans="1:23" x14ac:dyDescent="0.2">
      <c r="A26" s="98" t="s">
        <v>833</v>
      </c>
      <c r="B26" s="115" t="s">
        <v>820</v>
      </c>
      <c r="C26" s="783"/>
      <c r="D26" s="811" t="s">
        <v>836</v>
      </c>
      <c r="E26" s="814"/>
      <c r="F26" s="822"/>
      <c r="G26" s="39"/>
      <c r="H26" s="799"/>
      <c r="I26" s="799"/>
      <c r="J26" s="799"/>
      <c r="K26" s="799"/>
      <c r="L26" s="799"/>
      <c r="M26" s="799"/>
      <c r="N26" s="799"/>
      <c r="O26" s="799"/>
      <c r="P26" s="799"/>
      <c r="Q26" s="799"/>
      <c r="R26" s="799"/>
      <c r="S26" s="39"/>
      <c r="T26" s="39"/>
      <c r="U26" s="39"/>
      <c r="V26" s="39"/>
      <c r="W26" s="39"/>
    </row>
    <row r="27" spans="1:23" x14ac:dyDescent="0.2">
      <c r="A27" s="810"/>
      <c r="B27" s="18"/>
      <c r="C27" s="248"/>
      <c r="D27" s="788" t="s">
        <v>840</v>
      </c>
      <c r="E27" s="790" t="s">
        <v>822</v>
      </c>
      <c r="F27" s="823"/>
      <c r="G27" s="755" t="b">
        <f>OR(ISBLANK(B29),ISBLANK(B30))</f>
        <v>1</v>
      </c>
      <c r="H27" s="799"/>
      <c r="I27" s="799"/>
      <c r="J27" s="799"/>
      <c r="K27" s="799"/>
      <c r="L27" s="799"/>
      <c r="M27" s="799"/>
      <c r="N27" s="799"/>
      <c r="O27" s="799"/>
      <c r="P27" s="799"/>
      <c r="Q27" s="799"/>
      <c r="R27" s="799"/>
      <c r="S27" s="39"/>
      <c r="T27" s="39"/>
      <c r="U27" s="39"/>
      <c r="V27" s="39"/>
      <c r="W27" s="39"/>
    </row>
    <row r="28" spans="1:23" x14ac:dyDescent="0.2">
      <c r="A28" s="810"/>
      <c r="B28" s="18"/>
      <c r="C28" s="248"/>
      <c r="D28" s="789" t="str">
        <f>IF(D3="Moderate Dementia","NO","Yes")</f>
        <v>NO</v>
      </c>
      <c r="E28" s="821" t="str">
        <f>IF(D3="None","1.00",IF(D3="MCI","0.97",IF(D3="Mild Dementia","0.92",IF(D3="Moderate Dementia","0.06 - 0.89 Not Usable"))))</f>
        <v>0.06 - 0.89 Not Usable</v>
      </c>
      <c r="F28" s="823" t="e">
        <f>1-E28</f>
        <v>#VALUE!</v>
      </c>
      <c r="G28" s="755"/>
      <c r="H28" s="799"/>
      <c r="I28" s="799"/>
      <c r="J28" s="799"/>
      <c r="K28" s="799"/>
      <c r="L28" s="799"/>
      <c r="M28" s="799"/>
      <c r="N28" s="799"/>
      <c r="O28" s="799"/>
      <c r="P28" s="799"/>
      <c r="Q28" s="799"/>
      <c r="R28" s="799"/>
      <c r="S28" s="39"/>
      <c r="T28" s="39"/>
      <c r="U28" s="39"/>
      <c r="V28" s="39"/>
      <c r="W28" s="39"/>
    </row>
    <row r="29" spans="1:23" x14ac:dyDescent="0.2">
      <c r="A29" s="82" t="s">
        <v>271</v>
      </c>
      <c r="B29" s="100"/>
      <c r="C29" s="660" t="s">
        <v>445</v>
      </c>
      <c r="D29" s="788" t="s">
        <v>839</v>
      </c>
      <c r="E29" s="815" t="e">
        <f>B31-D30</f>
        <v>#VALUE!</v>
      </c>
      <c r="F29" s="823"/>
      <c r="G29" s="755"/>
      <c r="H29" s="799"/>
      <c r="I29" s="799"/>
      <c r="J29" s="799"/>
      <c r="K29" s="799"/>
      <c r="L29" s="799"/>
      <c r="M29" s="799"/>
      <c r="N29" s="799"/>
      <c r="O29" s="799"/>
      <c r="P29" s="799"/>
      <c r="Q29" s="799"/>
      <c r="R29" s="799"/>
      <c r="S29" s="39"/>
      <c r="T29" s="39"/>
      <c r="U29" s="39"/>
      <c r="V29" s="39"/>
      <c r="W29" s="39"/>
    </row>
    <row r="30" spans="1:23" x14ac:dyDescent="0.2">
      <c r="A30" s="83" t="s">
        <v>270</v>
      </c>
      <c r="B30" s="100"/>
      <c r="C30" s="76"/>
      <c r="D30" s="812" t="str">
        <f>IF(D3="None",6,IF(D3="MCI",5,IF(D3="Mild Dementia",5,IF(D3="Moderate Dementia","N/A"))))</f>
        <v>N/A</v>
      </c>
      <c r="E30" s="816"/>
      <c r="F30" s="823"/>
      <c r="G30" s="755"/>
      <c r="H30" s="799"/>
      <c r="I30" s="799"/>
      <c r="J30" s="799"/>
      <c r="K30" s="799"/>
      <c r="L30" s="799"/>
      <c r="M30" s="799"/>
      <c r="N30" s="799"/>
      <c r="O30" s="799"/>
      <c r="P30" s="799"/>
      <c r="Q30" s="799"/>
      <c r="R30" s="799"/>
      <c r="S30" s="39"/>
      <c r="T30" s="39"/>
      <c r="U30" s="39"/>
      <c r="V30" s="39"/>
      <c r="W30" s="39"/>
    </row>
    <row r="31" spans="1:23" x14ac:dyDescent="0.2">
      <c r="A31" s="83" t="s">
        <v>272</v>
      </c>
      <c r="B31" s="104">
        <f>SUM(B29:B30)</f>
        <v>0</v>
      </c>
      <c r="C31" s="76"/>
      <c r="D31" s="793"/>
      <c r="E31" s="816"/>
      <c r="F31" s="823"/>
      <c r="G31" s="755"/>
      <c r="H31" s="799"/>
      <c r="I31" s="799"/>
      <c r="J31" s="799"/>
      <c r="K31" s="799"/>
      <c r="L31" s="799"/>
      <c r="M31" s="799"/>
      <c r="N31" s="799"/>
      <c r="O31" s="799"/>
      <c r="P31" s="799"/>
      <c r="Q31" s="799"/>
      <c r="R31" s="799"/>
      <c r="S31" s="39"/>
      <c r="T31" s="39"/>
      <c r="U31" s="39"/>
      <c r="V31" s="39"/>
      <c r="W31" s="39"/>
    </row>
    <row r="32" spans="1:23" x14ac:dyDescent="0.2">
      <c r="A32" s="105" t="s">
        <v>273</v>
      </c>
      <c r="B32" s="18" t="str">
        <f>IF(B31&lt;6,"FAIL","Pass")</f>
        <v>FAIL</v>
      </c>
      <c r="C32" s="801" t="s">
        <v>841</v>
      </c>
      <c r="D32" s="793" t="str">
        <f>IF(G27=TRUE,"Not used",(IF(ISNUMBER(E29),IF(E29&gt;=1,"Pass","FAIL"),"N/A")))</f>
        <v>Not used</v>
      </c>
      <c r="E32" s="816"/>
      <c r="F32" s="823"/>
      <c r="G32" s="755"/>
      <c r="H32" s="799"/>
      <c r="I32" s="799"/>
      <c r="J32" s="799"/>
      <c r="K32" s="799"/>
      <c r="L32" s="799"/>
      <c r="M32" s="799"/>
      <c r="N32" s="799"/>
      <c r="O32" s="799"/>
      <c r="P32" s="799"/>
      <c r="Q32" s="799"/>
      <c r="R32" s="799"/>
      <c r="S32" s="39"/>
      <c r="T32" s="39"/>
      <c r="U32" s="39"/>
      <c r="V32" s="39"/>
      <c r="W32" s="39"/>
    </row>
    <row r="33" spans="1:23" x14ac:dyDescent="0.2">
      <c r="A33" s="127" t="s">
        <v>832</v>
      </c>
      <c r="B33" s="809" t="s">
        <v>820</v>
      </c>
      <c r="C33" s="122"/>
      <c r="D33" s="796" t="s">
        <v>837</v>
      </c>
      <c r="E33" s="817"/>
      <c r="F33" s="823"/>
      <c r="G33" s="755" t="b">
        <f>ISBLANK(B35)</f>
        <v>1</v>
      </c>
      <c r="H33" s="799"/>
      <c r="I33" s="799"/>
      <c r="J33" s="799"/>
      <c r="K33" s="799"/>
      <c r="L33" s="799"/>
      <c r="M33" s="799"/>
      <c r="N33" s="799"/>
      <c r="O33" s="799"/>
      <c r="P33" s="799"/>
      <c r="Q33" s="799"/>
      <c r="R33" s="799"/>
      <c r="S33" s="39"/>
      <c r="T33" s="39"/>
      <c r="U33" s="39"/>
      <c r="V33" s="39"/>
      <c r="W33" s="39"/>
    </row>
    <row r="34" spans="1:23" x14ac:dyDescent="0.2">
      <c r="A34" s="826" t="s">
        <v>281</v>
      </c>
      <c r="B34" s="125"/>
      <c r="C34" s="660" t="s">
        <v>446</v>
      </c>
      <c r="D34" s="788" t="s">
        <v>839</v>
      </c>
      <c r="E34" s="818" t="s">
        <v>822</v>
      </c>
      <c r="F34" s="823"/>
      <c r="G34" s="755"/>
      <c r="H34" s="799"/>
      <c r="I34" s="799"/>
      <c r="J34" s="799"/>
      <c r="K34" s="799"/>
      <c r="L34" s="799"/>
      <c r="M34" s="799"/>
      <c r="N34" s="799"/>
      <c r="O34" s="799"/>
      <c r="P34" s="799"/>
      <c r="Q34" s="799"/>
      <c r="R34" s="799"/>
      <c r="S34" s="39"/>
      <c r="T34" s="39"/>
      <c r="U34" s="39"/>
      <c r="V34" s="39"/>
      <c r="W34" s="39"/>
    </row>
    <row r="35" spans="1:23" x14ac:dyDescent="0.2">
      <c r="A35" s="117" t="s">
        <v>280</v>
      </c>
      <c r="B35" s="16"/>
      <c r="C35" s="76"/>
      <c r="D35" s="788">
        <f>IF(D3="None",9,IF(D3="MCI",9,IF(D3="Mild Dementia",8,IF(D3="Moderate Dementia",6))))</f>
        <v>6</v>
      </c>
      <c r="E35" s="819">
        <f>IF(D3="None","1.00",IF(D3="MCI",0.97,IF(D3="Mild Dementia",0.9,IF(D3="Moderate Dementia",0.9))))</f>
        <v>0.9</v>
      </c>
      <c r="F35" s="823">
        <f>1-E35</f>
        <v>9.9999999999999978E-2</v>
      </c>
      <c r="G35" s="39"/>
      <c r="H35" s="799"/>
      <c r="I35" s="799"/>
      <c r="J35" s="799"/>
      <c r="K35" s="799"/>
      <c r="L35" s="799"/>
      <c r="M35" s="799"/>
      <c r="N35" s="799"/>
      <c r="O35" s="799"/>
      <c r="P35" s="799"/>
      <c r="Q35" s="799"/>
      <c r="R35" s="799"/>
      <c r="S35" s="39"/>
      <c r="T35" s="39"/>
      <c r="U35" s="39"/>
      <c r="V35" s="39"/>
      <c r="W35" s="39"/>
    </row>
    <row r="36" spans="1:23" x14ac:dyDescent="0.2">
      <c r="A36" s="118" t="s">
        <v>273</v>
      </c>
      <c r="B36" s="18" t="str">
        <f>IF(B35&gt;7,"Pass",IF(AND(B35&gt;=3,B35&lt;=7),"FAIL","FAIL - Below Chance"))</f>
        <v>FAIL - Below Chance</v>
      </c>
      <c r="C36" s="801" t="s">
        <v>842</v>
      </c>
      <c r="D36" s="793" t="str">
        <f>IF(G33=TRUE,"Not used",IF(B35&lt;=D35,"FAIL","Pass"))</f>
        <v>Not used</v>
      </c>
      <c r="E36" s="817"/>
      <c r="F36" s="823"/>
      <c r="G36" s="39"/>
      <c r="H36" s="799"/>
      <c r="I36" s="799"/>
      <c r="J36" s="799"/>
      <c r="K36" s="799"/>
      <c r="L36" s="799"/>
      <c r="M36" s="799"/>
      <c r="N36" s="799"/>
      <c r="O36" s="799"/>
      <c r="P36" s="799"/>
      <c r="Q36" s="799"/>
      <c r="R36" s="799"/>
      <c r="S36" s="39"/>
      <c r="T36" s="39"/>
      <c r="U36" s="39"/>
      <c r="V36" s="39"/>
      <c r="W36" s="39"/>
    </row>
    <row r="37" spans="1:23" x14ac:dyDescent="0.2">
      <c r="A37" s="806" t="s">
        <v>831</v>
      </c>
      <c r="B37" s="807"/>
      <c r="C37" s="808"/>
      <c r="D37" s="813" t="s">
        <v>838</v>
      </c>
      <c r="E37" s="816"/>
      <c r="F37" s="823"/>
      <c r="G37" s="755" t="b">
        <f>ISBLANK(B40)</f>
        <v>1</v>
      </c>
      <c r="H37" s="799"/>
      <c r="I37" s="799"/>
      <c r="J37" s="799"/>
      <c r="K37" s="799"/>
      <c r="L37" s="799"/>
      <c r="M37" s="799"/>
      <c r="N37" s="799"/>
      <c r="O37" s="799"/>
      <c r="P37" s="799"/>
      <c r="Q37" s="799"/>
      <c r="R37" s="799"/>
      <c r="S37" s="39"/>
      <c r="T37" s="39"/>
      <c r="U37" s="39"/>
      <c r="V37" s="39"/>
      <c r="W37" s="39"/>
    </row>
    <row r="38" spans="1:23" x14ac:dyDescent="0.2">
      <c r="A38" s="197" t="s">
        <v>848</v>
      </c>
      <c r="B38" s="248"/>
      <c r="C38" s="76"/>
      <c r="D38" s="788" t="s">
        <v>839</v>
      </c>
      <c r="E38" s="818" t="s">
        <v>822</v>
      </c>
      <c r="F38" s="823"/>
      <c r="G38" s="39"/>
      <c r="H38" s="799"/>
      <c r="I38" s="799"/>
      <c r="J38" s="799"/>
      <c r="K38" s="799"/>
      <c r="L38" s="799"/>
      <c r="M38" s="799"/>
      <c r="N38" s="799"/>
      <c r="O38" s="799"/>
      <c r="P38" s="799"/>
      <c r="Q38" s="799"/>
      <c r="R38" s="799"/>
      <c r="S38" s="39"/>
      <c r="T38" s="39"/>
      <c r="U38" s="39"/>
      <c r="V38" s="39"/>
      <c r="W38" s="39"/>
    </row>
    <row r="39" spans="1:23" x14ac:dyDescent="0.2">
      <c r="A39" s="75"/>
      <c r="B39" s="248"/>
      <c r="C39" s="76"/>
      <c r="D39" s="788">
        <f>IF(D3="None",11,IF(D3="MCI",10,IF(D3="Mild Dementia",10,IF(D3="Moderate Dementia",7))))</f>
        <v>7</v>
      </c>
      <c r="E39" s="819">
        <f>IF(D3="None","0.9",IF(D3="MCI",0.95,IF(D3="Mild Dementia",0.9,IF(D3="Moderate Dementia",0.95))))</f>
        <v>0.95</v>
      </c>
      <c r="F39" s="823">
        <f>1-E39</f>
        <v>5.0000000000000044E-2</v>
      </c>
      <c r="G39" s="39"/>
      <c r="H39" s="799"/>
      <c r="I39" s="799"/>
      <c r="J39" s="799"/>
      <c r="K39" s="799"/>
      <c r="L39" s="799"/>
      <c r="M39" s="799"/>
      <c r="N39" s="799"/>
      <c r="O39" s="799"/>
      <c r="P39" s="799"/>
      <c r="Q39" s="799"/>
      <c r="R39" s="799"/>
      <c r="S39" s="39"/>
      <c r="T39" s="39"/>
      <c r="U39" s="39"/>
      <c r="V39" s="39"/>
      <c r="W39" s="39"/>
    </row>
    <row r="40" spans="1:23" ht="16" thickBot="1" x14ac:dyDescent="0.25">
      <c r="A40" s="249" t="s">
        <v>835</v>
      </c>
      <c r="B40" s="16"/>
      <c r="C40" s="801" t="s">
        <v>842</v>
      </c>
      <c r="D40" s="793" t="str">
        <f>IF(G37=TRUE,"Not used",IF(B40&lt;=D39,"FAIL","Pass"))</f>
        <v>Not used</v>
      </c>
      <c r="E40" s="820"/>
      <c r="F40" s="482"/>
      <c r="G40" s="39"/>
      <c r="H40" s="799"/>
      <c r="I40" s="799"/>
      <c r="J40" s="799"/>
      <c r="K40" s="799"/>
      <c r="L40" s="799"/>
      <c r="M40" s="799"/>
      <c r="N40" s="799"/>
      <c r="O40" s="799"/>
      <c r="P40" s="799"/>
      <c r="Q40" s="799"/>
      <c r="R40" s="799"/>
      <c r="S40" s="39"/>
      <c r="T40" s="39"/>
      <c r="U40" s="39"/>
      <c r="V40" s="39"/>
      <c r="W40" s="39"/>
    </row>
    <row r="41" spans="1:23" x14ac:dyDescent="0.2">
      <c r="A41" s="75"/>
      <c r="B41" s="75"/>
      <c r="C41" s="76"/>
      <c r="D41" s="39"/>
      <c r="E41" s="39"/>
      <c r="F41" s="39"/>
      <c r="G41" s="39"/>
      <c r="H41" s="799"/>
      <c r="I41" s="799"/>
      <c r="J41" s="799"/>
      <c r="K41" s="799"/>
      <c r="L41" s="799"/>
      <c r="M41" s="799"/>
      <c r="N41" s="799"/>
      <c r="O41" s="799"/>
      <c r="P41" s="799"/>
      <c r="Q41" s="799"/>
      <c r="R41" s="799"/>
      <c r="S41" s="39"/>
      <c r="T41" s="39"/>
      <c r="U41" s="39"/>
      <c r="V41" s="39"/>
      <c r="W41" s="39"/>
    </row>
    <row r="42" spans="1:23" x14ac:dyDescent="0.2">
      <c r="A42" s="75"/>
      <c r="B42" s="75"/>
      <c r="C42" s="76"/>
      <c r="D42" s="39"/>
      <c r="E42" s="39"/>
      <c r="F42" s="39"/>
      <c r="G42" s="39"/>
      <c r="H42" s="799"/>
      <c r="I42" s="799"/>
      <c r="J42" s="799"/>
      <c r="K42" s="799"/>
      <c r="L42" s="799"/>
      <c r="M42" s="799"/>
      <c r="N42" s="799"/>
      <c r="O42" s="799"/>
      <c r="P42" s="799"/>
      <c r="Q42" s="799"/>
      <c r="R42" s="799"/>
      <c r="S42" s="39"/>
      <c r="T42" s="39"/>
      <c r="U42" s="39"/>
      <c r="V42" s="39"/>
      <c r="W42" s="39"/>
    </row>
    <row r="43" spans="1:23" x14ac:dyDescent="0.2">
      <c r="A43" s="75"/>
      <c r="B43" s="75"/>
      <c r="C43" s="76"/>
      <c r="D43" s="39"/>
      <c r="E43" s="39"/>
      <c r="F43" s="39"/>
      <c r="G43" s="39"/>
      <c r="H43" s="799"/>
      <c r="I43" s="799"/>
      <c r="J43" s="799"/>
      <c r="K43" s="799"/>
      <c r="L43" s="799"/>
      <c r="M43" s="799"/>
      <c r="N43" s="799"/>
      <c r="O43" s="799"/>
      <c r="P43" s="799"/>
      <c r="Q43" s="799"/>
      <c r="R43" s="799"/>
      <c r="S43" s="39"/>
      <c r="T43" s="39"/>
      <c r="U43" s="39"/>
      <c r="V43" s="39"/>
      <c r="W43" s="39"/>
    </row>
    <row r="44" spans="1:23" x14ac:dyDescent="0.2">
      <c r="A44" s="75"/>
      <c r="B44" s="75"/>
      <c r="C44" s="76"/>
      <c r="D44" s="39"/>
      <c r="E44" s="39"/>
      <c r="F44" s="39"/>
      <c r="G44" s="39"/>
      <c r="H44" s="799"/>
      <c r="I44" s="799"/>
      <c r="J44" s="799"/>
      <c r="K44" s="799"/>
      <c r="L44" s="799"/>
      <c r="M44" s="799"/>
      <c r="N44" s="799"/>
      <c r="O44" s="799"/>
      <c r="P44" s="799"/>
      <c r="Q44" s="799"/>
      <c r="R44" s="799"/>
      <c r="S44" s="39"/>
      <c r="T44" s="39"/>
      <c r="U44" s="39"/>
      <c r="V44" s="39"/>
      <c r="W44" s="39"/>
    </row>
    <row r="45" spans="1:23" x14ac:dyDescent="0.2">
      <c r="A45" s="75" t="s">
        <v>834</v>
      </c>
      <c r="B45" s="76"/>
      <c r="C45" s="76"/>
      <c r="D45" s="39"/>
      <c r="E45" s="39"/>
      <c r="F45" s="39"/>
      <c r="G45" s="39"/>
      <c r="H45" s="799"/>
      <c r="I45" s="799"/>
      <c r="J45" s="799"/>
      <c r="K45" s="799"/>
      <c r="L45" s="799"/>
      <c r="M45" s="799"/>
      <c r="N45" s="799"/>
      <c r="O45" s="799"/>
      <c r="P45" s="799"/>
      <c r="Q45" s="799"/>
      <c r="R45" s="799"/>
      <c r="S45" s="39"/>
      <c r="T45" s="39"/>
      <c r="U45" s="39"/>
      <c r="V45" s="39"/>
      <c r="W45" s="39"/>
    </row>
    <row r="46" spans="1:23" x14ac:dyDescent="0.2">
      <c r="A46" s="75"/>
      <c r="B46" s="76"/>
      <c r="C46" s="76"/>
      <c r="D46" s="39"/>
      <c r="E46" s="39"/>
      <c r="F46" s="39"/>
      <c r="G46" s="39"/>
      <c r="H46" s="799"/>
      <c r="I46" s="799"/>
      <c r="J46" s="799"/>
      <c r="K46" s="799"/>
      <c r="L46" s="799"/>
      <c r="M46" s="799"/>
      <c r="N46" s="799"/>
      <c r="O46" s="799"/>
      <c r="P46" s="799"/>
      <c r="Q46" s="799"/>
      <c r="R46" s="799"/>
      <c r="S46" s="39"/>
      <c r="T46" s="39"/>
      <c r="U46" s="39"/>
      <c r="V46" s="39"/>
      <c r="W46" s="39"/>
    </row>
    <row r="47" spans="1:23" x14ac:dyDescent="0.2">
      <c r="A47" s="52" t="s">
        <v>146</v>
      </c>
      <c r="B47" s="350" t="s">
        <v>170</v>
      </c>
      <c r="C47" s="351"/>
      <c r="D47" s="352"/>
      <c r="E47" s="353"/>
      <c r="F47" s="39"/>
      <c r="G47" s="39"/>
      <c r="H47" s="799"/>
      <c r="I47" s="799"/>
      <c r="J47" s="799"/>
      <c r="K47" s="799"/>
      <c r="L47" s="799"/>
      <c r="M47" s="799"/>
      <c r="N47" s="799"/>
    </row>
    <row r="48" spans="1:23" x14ac:dyDescent="0.2">
      <c r="A48" s="82" t="s">
        <v>274</v>
      </c>
      <c r="B48" s="16">
        <v>0</v>
      </c>
      <c r="C48" s="39"/>
      <c r="D48" s="39"/>
      <c r="E48" s="86"/>
      <c r="F48" s="39"/>
      <c r="G48" s="39"/>
      <c r="H48" s="799"/>
      <c r="I48" s="799"/>
      <c r="J48" s="799"/>
      <c r="K48" s="799"/>
      <c r="L48" s="799"/>
      <c r="M48" s="799"/>
      <c r="N48" s="799"/>
    </row>
    <row r="49" spans="1:14" x14ac:dyDescent="0.2">
      <c r="A49" s="83" t="s">
        <v>275</v>
      </c>
      <c r="B49" s="16">
        <v>0</v>
      </c>
      <c r="C49" s="39"/>
      <c r="D49" s="39"/>
      <c r="E49" s="86"/>
      <c r="F49" s="39"/>
      <c r="G49" s="39"/>
      <c r="H49" s="799"/>
      <c r="I49" s="799"/>
      <c r="J49" s="799"/>
      <c r="K49" s="799"/>
      <c r="L49" s="799"/>
      <c r="M49" s="799"/>
      <c r="N49" s="799"/>
    </row>
    <row r="50" spans="1:14" x14ac:dyDescent="0.2">
      <c r="A50" s="83" t="s">
        <v>276</v>
      </c>
      <c r="B50" s="16">
        <v>0</v>
      </c>
      <c r="C50" s="39"/>
      <c r="D50" s="39"/>
      <c r="E50" s="86"/>
      <c r="F50" s="39"/>
      <c r="G50" s="39"/>
      <c r="H50" s="799"/>
      <c r="I50" s="799"/>
      <c r="J50" s="799"/>
      <c r="K50" s="799"/>
      <c r="L50" s="799"/>
      <c r="M50" s="799"/>
      <c r="N50" s="799"/>
    </row>
    <row r="51" spans="1:14" x14ac:dyDescent="0.2">
      <c r="A51" s="83" t="s">
        <v>277</v>
      </c>
      <c r="B51" s="16">
        <v>0</v>
      </c>
      <c r="C51" s="39"/>
      <c r="D51" s="39"/>
      <c r="E51" s="86"/>
      <c r="F51" s="39"/>
      <c r="G51" s="39"/>
      <c r="H51" s="799"/>
      <c r="I51" s="799"/>
      <c r="J51" s="799"/>
      <c r="K51" s="799"/>
      <c r="L51" s="799"/>
      <c r="M51" s="799"/>
      <c r="N51" s="799"/>
    </row>
    <row r="52" spans="1:14" x14ac:dyDescent="0.2">
      <c r="A52" s="83" t="s">
        <v>278</v>
      </c>
      <c r="B52" s="16">
        <v>0</v>
      </c>
      <c r="C52" s="39"/>
      <c r="D52" s="39"/>
      <c r="E52" s="86"/>
      <c r="F52" s="39"/>
      <c r="G52" s="39"/>
      <c r="H52" s="799"/>
      <c r="I52" s="799"/>
      <c r="J52" s="799"/>
      <c r="K52" s="799"/>
      <c r="L52" s="799"/>
      <c r="M52" s="799"/>
      <c r="N52" s="799"/>
    </row>
    <row r="53" spans="1:14" x14ac:dyDescent="0.2">
      <c r="A53" s="83" t="s">
        <v>169</v>
      </c>
      <c r="B53" s="101" t="str">
        <f>IF(OR((AND(B48&gt;=30,B48&lt;=70)),(AND(B49&gt;=30,B49&lt;=70)),AND(B50&gt;=30,B50&lt;=70)),"Severe Impairment Performance","No")</f>
        <v>No</v>
      </c>
      <c r="C53" s="39"/>
      <c r="D53" s="39"/>
      <c r="E53" s="86"/>
      <c r="F53" s="39"/>
      <c r="G53" s="39"/>
      <c r="H53" s="799"/>
      <c r="I53" s="799"/>
      <c r="J53" s="799"/>
      <c r="K53" s="799"/>
      <c r="L53" s="799"/>
      <c r="M53" s="799"/>
      <c r="N53" s="799"/>
    </row>
    <row r="54" spans="1:14" x14ac:dyDescent="0.2">
      <c r="A54" s="83" t="s">
        <v>279</v>
      </c>
      <c r="B54" s="101" t="str">
        <f>IF(OR(B48&lt;30,B49&lt;30,B50&lt;30), "Below Chance Performance","No")</f>
        <v>Below Chance Performance</v>
      </c>
      <c r="C54" s="39"/>
      <c r="D54" s="39"/>
      <c r="E54" s="86"/>
      <c r="F54" s="39"/>
      <c r="G54" s="39"/>
      <c r="H54" s="799"/>
      <c r="I54" s="799"/>
      <c r="J54" s="799"/>
      <c r="K54" s="799"/>
      <c r="L54" s="799"/>
      <c r="M54" s="799"/>
      <c r="N54" s="799"/>
    </row>
    <row r="55" spans="1:14" x14ac:dyDescent="0.2">
      <c r="A55" s="83" t="s">
        <v>165</v>
      </c>
      <c r="B55" s="18" t="str">
        <f>IF(OR(B48&lt;85,B49&lt;85,B50&lt;85),"FAIL","Pass")</f>
        <v>FAIL</v>
      </c>
      <c r="C55" s="39"/>
      <c r="D55" s="39"/>
      <c r="E55" s="86"/>
      <c r="F55" s="39"/>
      <c r="G55" s="39"/>
      <c r="H55" s="799"/>
      <c r="I55" s="799"/>
      <c r="J55" s="799"/>
      <c r="K55" s="799"/>
      <c r="L55" s="799"/>
      <c r="M55" s="799"/>
      <c r="N55" s="799"/>
    </row>
    <row r="56" spans="1:14" x14ac:dyDescent="0.2">
      <c r="A56" s="83" t="s">
        <v>166</v>
      </c>
      <c r="B56" s="102">
        <f>((B48+B49+B50)/3)-((B51+B52)/2)</f>
        <v>0</v>
      </c>
      <c r="C56" s="76"/>
      <c r="D56" s="39"/>
      <c r="E56" s="86"/>
      <c r="F56" s="39"/>
      <c r="G56" s="39"/>
      <c r="H56" s="799"/>
      <c r="I56" s="799"/>
      <c r="J56" s="799"/>
      <c r="K56" s="799"/>
      <c r="L56" s="799"/>
      <c r="M56" s="799"/>
      <c r="N56" s="799"/>
    </row>
    <row r="57" spans="1:14" x14ac:dyDescent="0.2">
      <c r="A57" s="84" t="s">
        <v>167</v>
      </c>
      <c r="B57" s="18" t="str">
        <f>IF(B55="Pass","N/A",(IF(B56&lt;25,"FAIL","Pass")))</f>
        <v>FAIL</v>
      </c>
      <c r="C57" s="87"/>
      <c r="D57" s="88"/>
      <c r="E57" s="89"/>
      <c r="F57" s="39"/>
      <c r="G57" s="39"/>
      <c r="H57" s="799"/>
      <c r="I57" s="799"/>
      <c r="J57" s="799"/>
      <c r="K57" s="799"/>
      <c r="L57" s="799"/>
      <c r="M57" s="799"/>
      <c r="N57" s="799"/>
    </row>
    <row r="58" spans="1:14" x14ac:dyDescent="0.2">
      <c r="A58" s="85" t="s">
        <v>168</v>
      </c>
      <c r="B58" s="18" t="str">
        <f>IF(OR(B55="Pass",(AND(B55="FAIL",B57="Pass",B54="No"))),"Pass","FAIL")</f>
        <v>FAIL</v>
      </c>
      <c r="C58" s="87"/>
      <c r="D58" s="88"/>
      <c r="E58" s="89"/>
      <c r="F58" s="39"/>
      <c r="G58" s="39"/>
      <c r="H58" s="799"/>
      <c r="I58" s="799"/>
      <c r="J58" s="799"/>
      <c r="K58" s="799"/>
      <c r="L58" s="799"/>
      <c r="M58" s="799"/>
      <c r="N58" s="799"/>
    </row>
    <row r="59" spans="1:14" ht="31" x14ac:dyDescent="0.2">
      <c r="A59" s="92" t="s">
        <v>171</v>
      </c>
      <c r="B59" s="864"/>
      <c r="C59" s="865"/>
      <c r="D59" s="865"/>
      <c r="E59" s="866"/>
      <c r="F59" s="39"/>
      <c r="G59" s="39"/>
      <c r="H59" s="799"/>
      <c r="I59" s="799"/>
      <c r="J59" s="799"/>
      <c r="K59" s="799"/>
      <c r="L59" s="799"/>
      <c r="M59" s="799"/>
      <c r="N59" s="799"/>
    </row>
    <row r="60" spans="1:14" x14ac:dyDescent="0.2">
      <c r="A60" s="411" t="s">
        <v>140</v>
      </c>
      <c r="B60" s="37" t="s">
        <v>124</v>
      </c>
      <c r="C60" s="114" t="s">
        <v>332</v>
      </c>
      <c r="D60" s="114" t="s">
        <v>306</v>
      </c>
      <c r="E60" s="114" t="s">
        <v>307</v>
      </c>
      <c r="F60" s="39"/>
      <c r="G60" s="39"/>
      <c r="H60" s="799"/>
      <c r="I60" s="799"/>
      <c r="J60" s="799"/>
      <c r="K60" s="799"/>
      <c r="L60" s="799"/>
      <c r="M60" s="799"/>
      <c r="N60" s="799"/>
    </row>
    <row r="61" spans="1:14" x14ac:dyDescent="0.2">
      <c r="A61" s="110" t="s">
        <v>302</v>
      </c>
      <c r="B61" s="111"/>
      <c r="C61" s="157" t="s">
        <v>300</v>
      </c>
      <c r="D61" s="126" t="s">
        <v>305</v>
      </c>
      <c r="E61" s="126" t="s">
        <v>304</v>
      </c>
      <c r="F61" s="39"/>
      <c r="G61" s="226"/>
      <c r="H61" s="799"/>
      <c r="I61" s="799"/>
      <c r="J61" s="799"/>
      <c r="K61" s="799"/>
      <c r="L61" s="799"/>
      <c r="M61" s="799"/>
      <c r="N61" s="799"/>
    </row>
    <row r="62" spans="1:14" x14ac:dyDescent="0.2">
      <c r="A62" s="72" t="s">
        <v>141</v>
      </c>
      <c r="B62" s="38">
        <v>0</v>
      </c>
      <c r="C62" s="48" t="str">
        <f>IF(B62&gt;31,"Above Chance",IF(AND(B62&gt;=18,B62&lt;=31),"Chance Level","Below Chance"))</f>
        <v>Below Chance</v>
      </c>
      <c r="D62" s="19" t="s">
        <v>42</v>
      </c>
      <c r="E62" s="19" t="s">
        <v>42</v>
      </c>
      <c r="F62" s="39"/>
      <c r="G62" s="226"/>
      <c r="H62" s="799"/>
      <c r="I62" s="799"/>
      <c r="J62" s="799"/>
      <c r="K62" s="799"/>
      <c r="L62" s="799"/>
      <c r="M62" s="799"/>
      <c r="N62" s="799"/>
    </row>
    <row r="63" spans="1:14" x14ac:dyDescent="0.2">
      <c r="A63" s="73" t="s">
        <v>142</v>
      </c>
      <c r="B63" s="38">
        <v>0</v>
      </c>
      <c r="C63" s="48" t="str">
        <f>IF(B63&gt;31,"Above Chance",IF(AND(B63&gt;=18,B63&lt;=31),"Chance Level","Below Chance"))</f>
        <v>Below Chance</v>
      </c>
      <c r="D63" s="19" t="str">
        <f>IF(B63&gt;=45,"Pass","FAIL")</f>
        <v>FAIL</v>
      </c>
      <c r="E63" s="19" t="str">
        <f>IF(B63&gt;36,"Pass","FAIL")</f>
        <v>FAIL</v>
      </c>
      <c r="F63" s="39"/>
      <c r="G63" s="39"/>
      <c r="H63" s="799"/>
      <c r="I63" s="799"/>
      <c r="J63" s="799"/>
      <c r="K63" s="799"/>
      <c r="L63" s="799"/>
      <c r="M63" s="799"/>
      <c r="N63" s="799"/>
    </row>
    <row r="64" spans="1:14" x14ac:dyDescent="0.2">
      <c r="A64" s="74" t="s">
        <v>145</v>
      </c>
      <c r="B64" s="38">
        <v>0</v>
      </c>
      <c r="C64" s="48" t="str">
        <f>IF(B64&gt;31,"Above Chance",IF(AND(B64&gt;=18,B64&lt;=31),"Chance Level","Below Chance"))</f>
        <v>Below Chance</v>
      </c>
      <c r="D64" s="19" t="s">
        <v>42</v>
      </c>
      <c r="E64" s="19" t="str">
        <f>IF(B64&gt;29,"Pass","FAIL")</f>
        <v>FAIL</v>
      </c>
      <c r="F64" s="39"/>
      <c r="G64" s="39"/>
      <c r="H64" s="799"/>
      <c r="I64" s="799"/>
      <c r="J64" s="799"/>
      <c r="K64" s="799"/>
      <c r="L64" s="799"/>
      <c r="M64" s="799"/>
      <c r="N64" s="799"/>
    </row>
    <row r="65" spans="1:14" x14ac:dyDescent="0.2">
      <c r="A65" s="120" t="s">
        <v>273</v>
      </c>
      <c r="B65" s="227" t="str">
        <f>IF(OR(C62="Below Chance",C63="Below Chance",C64="Below Chance"),"Likely Malingering",IF(AND(C62="Above Chance",C63="Above Chance",C64="Above Chance",D63="Pass",E63="Pass",E64="Pass"),"Likely Pass","Use Clinical Judgement"))</f>
        <v>Likely Malingering</v>
      </c>
      <c r="C65" s="800" t="s">
        <v>301</v>
      </c>
      <c r="D65" s="6" t="s">
        <v>303</v>
      </c>
      <c r="E65" s="124"/>
      <c r="F65" s="39"/>
      <c r="G65" s="39"/>
      <c r="H65" s="799"/>
      <c r="I65" s="799"/>
      <c r="J65" s="799"/>
      <c r="K65" s="799"/>
      <c r="L65" s="799"/>
      <c r="M65" s="799"/>
      <c r="N65" s="799"/>
    </row>
    <row r="66" spans="1:14" x14ac:dyDescent="0.2">
      <c r="F66" s="39"/>
      <c r="G66" s="39"/>
      <c r="H66" s="799"/>
      <c r="I66" s="799"/>
      <c r="J66" s="799"/>
      <c r="K66" s="799"/>
      <c r="L66" s="799"/>
      <c r="M66" s="799"/>
      <c r="N66" s="799"/>
    </row>
    <row r="67" spans="1:14" ht="17.25" customHeight="1" x14ac:dyDescent="0.2">
      <c r="F67" s="39"/>
      <c r="H67" s="799"/>
      <c r="I67" s="799"/>
      <c r="J67" s="799"/>
      <c r="K67" s="799"/>
      <c r="L67" s="799"/>
      <c r="M67" s="799"/>
      <c r="N67" s="799"/>
    </row>
    <row r="68" spans="1:14" x14ac:dyDescent="0.2">
      <c r="F68" s="39"/>
      <c r="G68" s="39"/>
      <c r="H68" s="799"/>
      <c r="I68" s="799"/>
      <c r="J68" s="799"/>
      <c r="K68" s="799"/>
      <c r="L68" s="799"/>
      <c r="M68" s="799"/>
      <c r="N68" s="799"/>
    </row>
    <row r="69" spans="1:14" x14ac:dyDescent="0.2">
      <c r="F69" s="39"/>
      <c r="G69" s="39"/>
      <c r="H69" s="799"/>
      <c r="I69" s="799"/>
      <c r="J69" s="799"/>
      <c r="K69" s="799"/>
      <c r="L69" s="799"/>
      <c r="M69" s="799"/>
      <c r="N69" s="799"/>
    </row>
    <row r="70" spans="1:14" x14ac:dyDescent="0.2">
      <c r="A70" s="410" t="s">
        <v>143</v>
      </c>
      <c r="B70" s="116" t="s">
        <v>124</v>
      </c>
      <c r="C70" s="27"/>
      <c r="D70" s="121" t="s">
        <v>284</v>
      </c>
      <c r="E70" s="27"/>
      <c r="F70" s="39"/>
      <c r="H70" s="799"/>
      <c r="I70" s="799"/>
      <c r="J70" s="799"/>
      <c r="K70" s="799"/>
      <c r="L70" s="799"/>
      <c r="M70" s="799"/>
      <c r="N70" s="799"/>
    </row>
    <row r="71" spans="1:14" x14ac:dyDescent="0.2">
      <c r="A71" s="110" t="s">
        <v>285</v>
      </c>
      <c r="B71" s="111"/>
      <c r="C71" s="112"/>
      <c r="D71" s="21">
        <v>0.85</v>
      </c>
      <c r="E71" s="111"/>
      <c r="F71" s="39"/>
      <c r="G71" s="39"/>
      <c r="H71" s="799"/>
      <c r="I71" s="799"/>
      <c r="J71" s="799"/>
      <c r="K71" s="799"/>
      <c r="L71" s="799"/>
      <c r="M71" s="799"/>
      <c r="N71" s="799"/>
    </row>
    <row r="72" spans="1:14" ht="15" customHeight="1" x14ac:dyDescent="0.2">
      <c r="A72" s="70" t="s">
        <v>144</v>
      </c>
      <c r="B72" s="68">
        <v>0</v>
      </c>
      <c r="C72" s="80"/>
      <c r="D72" s="77"/>
      <c r="E72" s="19"/>
      <c r="F72" s="39"/>
      <c r="G72" s="39"/>
      <c r="H72" s="799"/>
      <c r="I72" s="799"/>
      <c r="J72" s="799"/>
      <c r="K72" s="799"/>
      <c r="L72" s="799"/>
      <c r="M72" s="799"/>
      <c r="N72" s="799"/>
    </row>
    <row r="73" spans="1:14" ht="16" x14ac:dyDescent="0.2">
      <c r="A73" s="71" t="s">
        <v>145</v>
      </c>
      <c r="B73" s="69">
        <v>0</v>
      </c>
      <c r="C73" s="81"/>
      <c r="D73" s="78"/>
      <c r="E73" s="45"/>
      <c r="F73" s="39"/>
      <c r="G73" s="39"/>
      <c r="H73" s="799"/>
      <c r="I73" s="799"/>
      <c r="J73" s="799"/>
      <c r="K73" s="799"/>
      <c r="L73" s="799"/>
      <c r="M73" s="799"/>
      <c r="N73" s="799"/>
    </row>
    <row r="74" spans="1:14" ht="16" x14ac:dyDescent="0.2">
      <c r="A74" s="106" t="s">
        <v>29</v>
      </c>
      <c r="B74" s="773">
        <f>SUM(B72:B73)</f>
        <v>0</v>
      </c>
      <c r="C74" s="79"/>
      <c r="D74" s="79"/>
      <c r="E74" s="128"/>
      <c r="F74" s="39"/>
      <c r="G74" s="39"/>
      <c r="H74" s="799"/>
      <c r="I74" s="799"/>
      <c r="J74" s="799"/>
      <c r="K74" s="799"/>
      <c r="L74" s="799"/>
      <c r="M74" s="799"/>
      <c r="N74" s="799"/>
    </row>
    <row r="75" spans="1:14" ht="16" x14ac:dyDescent="0.2">
      <c r="A75" s="107" t="s">
        <v>273</v>
      </c>
      <c r="B75" s="139" t="s">
        <v>308</v>
      </c>
      <c r="C75" s="108"/>
      <c r="D75" s="799" t="s">
        <v>283</v>
      </c>
      <c r="E75" s="109"/>
      <c r="F75" s="39"/>
      <c r="G75" s="39"/>
      <c r="H75" s="799"/>
      <c r="I75" s="799"/>
      <c r="J75" s="799"/>
      <c r="K75" s="799"/>
      <c r="L75" s="799"/>
      <c r="M75" s="799"/>
      <c r="N75" s="799"/>
    </row>
    <row r="76" spans="1:14" x14ac:dyDescent="0.2">
      <c r="A76" s="113" t="s">
        <v>282</v>
      </c>
      <c r="B76" s="867"/>
      <c r="C76" s="868"/>
      <c r="D76" s="868"/>
      <c r="E76" s="869"/>
      <c r="F76" s="39"/>
      <c r="G76" s="39"/>
      <c r="H76" s="799"/>
      <c r="I76" s="799"/>
      <c r="J76" s="799"/>
      <c r="K76" s="799"/>
      <c r="L76" s="799"/>
      <c r="M76" s="799"/>
      <c r="N76" s="799"/>
    </row>
    <row r="77" spans="1:14" x14ac:dyDescent="0.2">
      <c r="A77" s="132" t="s">
        <v>296</v>
      </c>
      <c r="B77" s="133" t="s">
        <v>124</v>
      </c>
      <c r="C77" s="130"/>
      <c r="D77" s="130"/>
      <c r="E77" s="131"/>
      <c r="F77" s="39"/>
      <c r="H77" s="799"/>
      <c r="I77" s="799"/>
      <c r="J77" s="799"/>
      <c r="K77" s="799"/>
      <c r="L77" s="799"/>
      <c r="M77" s="799"/>
      <c r="N77" s="799"/>
    </row>
    <row r="78" spans="1:14" x14ac:dyDescent="0.2">
      <c r="A78" s="140" t="s">
        <v>297</v>
      </c>
      <c r="B78" s="90"/>
      <c r="C78" s="90"/>
      <c r="D78" s="799" t="s">
        <v>287</v>
      </c>
      <c r="E78" s="91"/>
      <c r="F78" s="39"/>
      <c r="G78" s="39"/>
      <c r="H78" s="799"/>
      <c r="I78" s="799"/>
      <c r="J78" s="799"/>
      <c r="K78" s="799"/>
      <c r="L78" s="799"/>
      <c r="M78" s="799"/>
      <c r="N78" s="799"/>
    </row>
    <row r="79" spans="1:14" x14ac:dyDescent="0.2">
      <c r="A79" s="83" t="s">
        <v>298</v>
      </c>
      <c r="B79" s="119">
        <v>0</v>
      </c>
      <c r="C79" s="413"/>
      <c r="D79" s="412" t="s">
        <v>447</v>
      </c>
      <c r="E79" s="86"/>
      <c r="F79" s="39"/>
      <c r="G79" s="39"/>
      <c r="H79" s="799"/>
      <c r="I79" s="799"/>
      <c r="J79" s="799"/>
      <c r="K79" s="799"/>
      <c r="L79" s="799"/>
      <c r="M79" s="799"/>
      <c r="N79" s="799"/>
    </row>
    <row r="80" spans="1:14" x14ac:dyDescent="0.2">
      <c r="A80" s="84" t="s">
        <v>309</v>
      </c>
      <c r="B80" s="141" t="str">
        <f>IF(B79=9,(SUM('Do Not Edit'!G121:G126)),IF(B79=8,(SUM('Do Not Edit'!G121:G125)),IF(B79=7,(SUM('Do Not Edit'!G121:G124)),IF(B79=6,(SUM('Do Not Edit'!G121:G123)),IF(B79=5,(SUM('Do Not Edit'!G121:G122)),IF(B79=4,('Do Not Edit'!G121),"Below Chance"))))))</f>
        <v>Below Chance</v>
      </c>
      <c r="C80" s="88"/>
      <c r="D80" s="414" t="e">
        <f>1-B80</f>
        <v>#VALUE!</v>
      </c>
      <c r="E80" s="89"/>
      <c r="F80" s="39"/>
      <c r="G80" s="39"/>
      <c r="H80" s="799"/>
      <c r="I80" s="799"/>
      <c r="J80" s="799"/>
      <c r="K80" s="799"/>
      <c r="L80" s="799"/>
      <c r="M80" s="799"/>
      <c r="N80" s="799"/>
    </row>
    <row r="81" spans="1:14" ht="16" x14ac:dyDescent="0.2">
      <c r="A81" s="107" t="s">
        <v>273</v>
      </c>
      <c r="B81" s="139" t="s">
        <v>308</v>
      </c>
      <c r="C81" s="108"/>
      <c r="D81" s="108"/>
      <c r="E81" s="109"/>
      <c r="F81" s="39"/>
      <c r="G81" s="39"/>
      <c r="H81" s="799"/>
      <c r="I81" s="799"/>
      <c r="J81" s="799"/>
      <c r="K81" s="799"/>
      <c r="L81" s="799"/>
      <c r="M81" s="799"/>
      <c r="N81" s="799"/>
    </row>
    <row r="82" spans="1:14" x14ac:dyDescent="0.2">
      <c r="A82" s="39"/>
      <c r="B82" s="39"/>
      <c r="C82" s="39"/>
      <c r="D82" s="39"/>
      <c r="E82" s="39"/>
      <c r="F82" s="39"/>
      <c r="G82" s="39"/>
      <c r="H82" s="799"/>
      <c r="I82" s="799"/>
      <c r="J82" s="799"/>
      <c r="K82" s="799"/>
      <c r="L82" s="799"/>
      <c r="M82" s="799"/>
      <c r="N82" s="799"/>
    </row>
    <row r="83" spans="1:14" x14ac:dyDescent="0.2">
      <c r="A83" s="39"/>
      <c r="B83" s="39"/>
      <c r="C83" s="39"/>
      <c r="D83" s="39"/>
      <c r="E83" s="39"/>
      <c r="F83" s="39"/>
      <c r="G83" s="39"/>
      <c r="H83" s="799"/>
      <c r="I83" s="799"/>
      <c r="J83" s="799"/>
      <c r="K83" s="799"/>
      <c r="L83" s="799"/>
      <c r="M83" s="799"/>
      <c r="N83" s="799"/>
    </row>
    <row r="84" spans="1:14" x14ac:dyDescent="0.2">
      <c r="A84" s="39"/>
      <c r="B84" s="39"/>
      <c r="C84" s="39"/>
      <c r="D84" s="39"/>
      <c r="E84" s="39"/>
      <c r="F84" s="39"/>
      <c r="G84" s="39"/>
      <c r="H84" s="799"/>
      <c r="I84" s="799"/>
      <c r="J84" s="799"/>
      <c r="K84" s="799"/>
      <c r="L84" s="799"/>
      <c r="M84" s="799"/>
      <c r="N84" s="799"/>
    </row>
    <row r="85" spans="1:14" x14ac:dyDescent="0.2">
      <c r="A85" s="39"/>
      <c r="B85" s="39"/>
      <c r="C85" s="39"/>
      <c r="D85" s="39"/>
      <c r="E85" s="39"/>
      <c r="F85" s="39"/>
      <c r="G85" s="39"/>
      <c r="H85" s="799"/>
      <c r="I85" s="799"/>
      <c r="J85" s="799"/>
      <c r="K85" s="799"/>
      <c r="L85" s="799"/>
      <c r="M85" s="799"/>
      <c r="N85" s="799"/>
    </row>
    <row r="86" spans="1:14" x14ac:dyDescent="0.2">
      <c r="A86" s="39"/>
      <c r="B86" s="39"/>
      <c r="C86" s="39"/>
      <c r="D86" s="39"/>
      <c r="E86" s="39"/>
      <c r="F86" s="39"/>
      <c r="G86" s="39"/>
      <c r="H86" s="799"/>
      <c r="I86" s="799"/>
      <c r="J86" s="799"/>
      <c r="K86" s="799"/>
      <c r="L86" s="799"/>
      <c r="M86" s="799"/>
      <c r="N86" s="799"/>
    </row>
    <row r="87" spans="1:14" x14ac:dyDescent="0.2">
      <c r="A87" s="39"/>
      <c r="B87" s="39"/>
      <c r="C87" s="39"/>
      <c r="D87" s="39"/>
      <c r="E87" s="39"/>
      <c r="F87" s="39"/>
      <c r="G87" s="39"/>
      <c r="H87" s="799"/>
      <c r="I87" s="799"/>
      <c r="J87" s="799"/>
      <c r="K87" s="799"/>
      <c r="L87" s="799"/>
      <c r="M87" s="799"/>
      <c r="N87" s="799"/>
    </row>
    <row r="88" spans="1:14" x14ac:dyDescent="0.2">
      <c r="A88" s="39"/>
      <c r="B88" s="39"/>
      <c r="C88" s="39"/>
      <c r="D88" s="39"/>
      <c r="E88" s="39"/>
      <c r="F88" s="39"/>
      <c r="G88" s="39"/>
      <c r="H88" s="799"/>
      <c r="I88" s="799"/>
      <c r="J88" s="799"/>
      <c r="K88" s="799"/>
      <c r="L88" s="799"/>
      <c r="M88" s="799"/>
      <c r="N88" s="799"/>
    </row>
    <row r="89" spans="1:14" x14ac:dyDescent="0.2">
      <c r="A89" s="39"/>
      <c r="B89" s="39"/>
      <c r="C89" s="39"/>
      <c r="D89" s="39"/>
      <c r="E89" s="39"/>
      <c r="F89" s="39"/>
      <c r="G89" s="39"/>
      <c r="H89" s="799"/>
      <c r="I89" s="799"/>
      <c r="J89" s="799"/>
      <c r="K89" s="799"/>
      <c r="L89" s="799"/>
      <c r="M89" s="799"/>
      <c r="N89" s="799"/>
    </row>
    <row r="90" spans="1:14" x14ac:dyDescent="0.2">
      <c r="A90" s="39"/>
      <c r="B90" s="39"/>
      <c r="C90" s="39"/>
      <c r="D90" s="39"/>
      <c r="E90" s="39"/>
      <c r="F90" s="39"/>
      <c r="G90" s="39"/>
      <c r="H90" s="799"/>
      <c r="I90" s="799"/>
      <c r="J90" s="799"/>
      <c r="K90" s="799"/>
      <c r="L90" s="799"/>
      <c r="M90" s="799"/>
      <c r="N90" s="799"/>
    </row>
    <row r="91" spans="1:14" x14ac:dyDescent="0.2">
      <c r="A91" s="39"/>
      <c r="B91" s="39"/>
      <c r="C91" s="39"/>
      <c r="D91" s="39"/>
      <c r="E91" s="39"/>
      <c r="F91" s="39"/>
      <c r="G91" s="39"/>
      <c r="H91" s="799"/>
      <c r="I91" s="799"/>
      <c r="J91" s="799"/>
      <c r="K91" s="799"/>
      <c r="L91" s="799"/>
      <c r="M91" s="799"/>
      <c r="N91" s="799"/>
    </row>
    <row r="92" spans="1:14" x14ac:dyDescent="0.2">
      <c r="A92" s="39"/>
      <c r="B92" s="39"/>
      <c r="C92" s="39"/>
      <c r="D92" s="39"/>
      <c r="E92" s="39"/>
      <c r="F92" s="39"/>
      <c r="G92" s="39"/>
      <c r="H92" s="799"/>
      <c r="I92" s="799"/>
      <c r="J92" s="799"/>
      <c r="K92" s="799"/>
      <c r="L92" s="799"/>
      <c r="M92" s="799"/>
      <c r="N92" s="799"/>
    </row>
  </sheetData>
  <mergeCells count="6">
    <mergeCell ref="A1:E1"/>
    <mergeCell ref="B59:E59"/>
    <mergeCell ref="B76:E76"/>
    <mergeCell ref="I10:L10"/>
    <mergeCell ref="I11:L11"/>
    <mergeCell ref="I12:L12"/>
  </mergeCells>
  <conditionalFormatting sqref="B54">
    <cfRule type="containsText" dxfId="210" priority="36" operator="containsText" text="Below Chance Performance">
      <formula>NOT(ISERROR(SEARCH("Below Chance Performance",B54)))</formula>
    </cfRule>
    <cfRule type="cellIs" dxfId="209" priority="50" operator="equal">
      <formula>"Below Chance Performance"</formula>
    </cfRule>
  </conditionalFormatting>
  <conditionalFormatting sqref="B57">
    <cfRule type="cellIs" dxfId="208" priority="49" operator="equal">
      <formula>"FAIL"</formula>
    </cfRule>
  </conditionalFormatting>
  <conditionalFormatting sqref="B53">
    <cfRule type="cellIs" dxfId="207" priority="48" operator="equal">
      <formula>"Severe Impairment Performance"</formula>
    </cfRule>
  </conditionalFormatting>
  <conditionalFormatting sqref="B58">
    <cfRule type="containsText" dxfId="206" priority="42" operator="containsText" text="Pass">
      <formula>NOT(ISERROR(SEARCH("Pass",B58)))</formula>
    </cfRule>
    <cfRule type="cellIs" dxfId="205" priority="47" operator="equal">
      <formula>"FAIL"</formula>
    </cfRule>
  </conditionalFormatting>
  <conditionalFormatting sqref="B16">
    <cfRule type="cellIs" dxfId="204" priority="45" operator="equal">
      <formula>"Pass"</formula>
    </cfRule>
  </conditionalFormatting>
  <conditionalFormatting sqref="B36">
    <cfRule type="cellIs" dxfId="203" priority="37" operator="equal">
      <formula>"FAIL"</formula>
    </cfRule>
    <cfRule type="cellIs" dxfId="202" priority="38" operator="equal">
      <formula>"FAIL - Below Chance"</formula>
    </cfRule>
    <cfRule type="cellIs" dxfId="201" priority="39" operator="equal">
      <formula>"Pass"</formula>
    </cfRule>
  </conditionalFormatting>
  <conditionalFormatting sqref="B55">
    <cfRule type="cellIs" dxfId="200" priority="34" operator="equal">
      <formula>"Pass"</formula>
    </cfRule>
    <cfRule type="cellIs" dxfId="199" priority="35" operator="equal">
      <formula>"FAIL"</formula>
    </cfRule>
  </conditionalFormatting>
  <conditionalFormatting sqref="B80">
    <cfRule type="cellIs" dxfId="198" priority="15" operator="lessThan">
      <formula>0.1</formula>
    </cfRule>
    <cfRule type="cellIs" dxfId="197" priority="16" operator="equal">
      <formula>"BELOW CHANCE"</formula>
    </cfRule>
    <cfRule type="cellIs" dxfId="196" priority="30" operator="lessThan">
      <formula>0.15</formula>
    </cfRule>
  </conditionalFormatting>
  <conditionalFormatting sqref="D63">
    <cfRule type="cellIs" dxfId="195" priority="25" operator="equal">
      <formula>"Pass"</formula>
    </cfRule>
    <cfRule type="cellIs" dxfId="194" priority="28" operator="equal">
      <formula>"FAIL"</formula>
    </cfRule>
    <cfRule type="cellIs" dxfId="193" priority="29" operator="equal">
      <formula>"Pass"</formula>
    </cfRule>
  </conditionalFormatting>
  <conditionalFormatting sqref="E63">
    <cfRule type="cellIs" dxfId="192" priority="24" operator="equal">
      <formula>"FAIL"</formula>
    </cfRule>
    <cfRule type="cellIs" dxfId="191" priority="27" operator="equal">
      <formula>"Pass"</formula>
    </cfRule>
  </conditionalFormatting>
  <conditionalFormatting sqref="E64">
    <cfRule type="cellIs" dxfId="190" priority="23" operator="equal">
      <formula>"FAIL"</formula>
    </cfRule>
    <cfRule type="cellIs" dxfId="189" priority="26" operator="equal">
      <formula>"Pass"</formula>
    </cfRule>
  </conditionalFormatting>
  <conditionalFormatting sqref="C62:C64">
    <cfRule type="containsText" dxfId="188" priority="22" operator="containsText" text="Above Chance">
      <formula>NOT(ISERROR(SEARCH("Above Chance",C62)))</formula>
    </cfRule>
  </conditionalFormatting>
  <conditionalFormatting sqref="C62:C64">
    <cfRule type="cellIs" dxfId="187" priority="21" operator="equal">
      <formula>"Chance Level"</formula>
    </cfRule>
  </conditionalFormatting>
  <conditionalFormatting sqref="C62:C64">
    <cfRule type="cellIs" dxfId="186" priority="20" operator="equal">
      <formula>"Below Chance"</formula>
    </cfRule>
  </conditionalFormatting>
  <conditionalFormatting sqref="B65">
    <cfRule type="containsText" dxfId="185" priority="19" operator="containsText" text="Likely Pass">
      <formula>NOT(ISERROR(SEARCH("Likely Pass",B65)))</formula>
    </cfRule>
  </conditionalFormatting>
  <conditionalFormatting sqref="B65">
    <cfRule type="cellIs" dxfId="184" priority="18" operator="equal">
      <formula>"Use Clinical Judgement"</formula>
    </cfRule>
  </conditionalFormatting>
  <conditionalFormatting sqref="B65">
    <cfRule type="cellIs" dxfId="183" priority="17" operator="equal">
      <formula>"Likely Malingering"</formula>
    </cfRule>
  </conditionalFormatting>
  <conditionalFormatting sqref="B10 D10 B16 D16">
    <cfRule type="cellIs" dxfId="182" priority="43" operator="equal">
      <formula>"N/A"</formula>
    </cfRule>
    <cfRule type="cellIs" dxfId="181" priority="44" operator="equal">
      <formula>"Pass"</formula>
    </cfRule>
    <cfRule type="cellIs" dxfId="180" priority="46" operator="equal">
      <formula>"FAIL"</formula>
    </cfRule>
  </conditionalFormatting>
  <conditionalFormatting sqref="D21">
    <cfRule type="cellIs" dxfId="179" priority="12" operator="equal">
      <formula>"N/A"</formula>
    </cfRule>
    <cfRule type="cellIs" dxfId="178" priority="13" operator="equal">
      <formula>"Pass"</formula>
    </cfRule>
    <cfRule type="cellIs" dxfId="177" priority="14" operator="equal">
      <formula>"FAIL"</formula>
    </cfRule>
  </conditionalFormatting>
  <conditionalFormatting sqref="B32:B40">
    <cfRule type="cellIs" dxfId="176" priority="10" operator="equal">
      <formula>"FAIL"</formula>
    </cfRule>
    <cfRule type="cellIs" dxfId="175" priority="11" operator="equal">
      <formula>"Pass"</formula>
    </cfRule>
  </conditionalFormatting>
  <conditionalFormatting sqref="D36">
    <cfRule type="cellIs" dxfId="174" priority="7" operator="equal">
      <formula>"N/A"</formula>
    </cfRule>
    <cfRule type="cellIs" dxfId="173" priority="8" operator="equal">
      <formula>"Pass"</formula>
    </cfRule>
    <cfRule type="cellIs" dxfId="172" priority="9" operator="equal">
      <formula>"FAIL"</formula>
    </cfRule>
  </conditionalFormatting>
  <conditionalFormatting sqref="D31:D32">
    <cfRule type="cellIs" dxfId="171" priority="4" operator="equal">
      <formula>"N/A"</formula>
    </cfRule>
    <cfRule type="cellIs" dxfId="170" priority="5" operator="equal">
      <formula>"Pass"</formula>
    </cfRule>
    <cfRule type="cellIs" dxfId="169" priority="6" operator="equal">
      <formula>"FAIL"</formula>
    </cfRule>
  </conditionalFormatting>
  <conditionalFormatting sqref="D40">
    <cfRule type="cellIs" dxfId="168" priority="1" operator="equal">
      <formula>"N/A"</formula>
    </cfRule>
    <cfRule type="cellIs" dxfId="167" priority="2" operator="equal">
      <formula>"Pass"</formula>
    </cfRule>
    <cfRule type="cellIs" dxfId="166" priority="3" operator="equal">
      <formula>"FAIL"</formula>
    </cfRule>
  </conditionalFormatting>
  <dataValidations count="1">
    <dataValidation type="list" allowBlank="1" showInputMessage="1" showErrorMessage="1" sqref="D3" xr:uid="{B88E9AA2-1D5E-4338-A734-BE32AA18D4A6}">
      <formula1>"None,MCI,Mild Dementia,Moderate Dementia"</formula1>
    </dataValidation>
  </dataValidations>
  <hyperlinks>
    <hyperlink ref="C34" r:id="rId1" xr:uid="{33658045-A3BE-42BE-8F9D-E14563E1ED0C}"/>
    <hyperlink ref="C65" r:id="rId2" xr:uid="{E4C0F845-1415-4CF0-87C4-44D886FA8E0D}"/>
    <hyperlink ref="C29" r:id="rId3" xr:uid="{479D2B68-ED38-4F66-900E-F17460368295}"/>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948A4-216F-4599-8792-73494BD90DC7}">
  <sheetPr>
    <tabColor theme="5" tint="0.39997558519241921"/>
  </sheetPr>
  <dimension ref="A1:X55"/>
  <sheetViews>
    <sheetView workbookViewId="0">
      <selection activeCell="Q15" sqref="Q15"/>
    </sheetView>
  </sheetViews>
  <sheetFormatPr baseColWidth="10" defaultColWidth="8.83203125" defaultRowHeight="15" x14ac:dyDescent="0.2"/>
  <sheetData>
    <row r="1" spans="1:24" x14ac:dyDescent="0.2">
      <c r="A1" s="39"/>
      <c r="B1" s="427" t="s">
        <v>589</v>
      </c>
      <c r="C1" s="39"/>
      <c r="D1" s="39"/>
      <c r="E1" s="39"/>
      <c r="F1" s="39"/>
      <c r="G1" s="39"/>
      <c r="H1" s="39"/>
      <c r="I1" s="39"/>
      <c r="J1" s="39"/>
      <c r="K1" s="39"/>
      <c r="L1" s="39"/>
      <c r="M1" s="39"/>
      <c r="N1" s="427" t="s">
        <v>590</v>
      </c>
      <c r="O1" s="39"/>
      <c r="P1" s="39"/>
      <c r="Q1" s="39"/>
      <c r="R1" s="39"/>
      <c r="S1" s="39"/>
      <c r="T1" s="39"/>
      <c r="U1" s="39"/>
      <c r="V1" s="39"/>
      <c r="W1" s="39"/>
      <c r="X1" s="39"/>
    </row>
    <row r="2" spans="1:24" x14ac:dyDescent="0.2">
      <c r="A2" s="39"/>
      <c r="B2" s="39"/>
      <c r="C2" s="39"/>
      <c r="D2" s="39"/>
      <c r="E2" s="39"/>
      <c r="F2" s="39"/>
      <c r="G2" s="39"/>
      <c r="H2" s="39"/>
      <c r="I2" s="39"/>
      <c r="J2" s="39"/>
      <c r="K2" s="39"/>
      <c r="L2" s="39"/>
      <c r="M2" s="39"/>
      <c r="N2" s="39"/>
      <c r="O2" s="39"/>
      <c r="P2" s="39"/>
      <c r="Q2" s="39"/>
      <c r="R2" s="39"/>
      <c r="S2" s="39"/>
      <c r="T2" s="39"/>
      <c r="U2" s="39"/>
      <c r="V2" s="39"/>
      <c r="W2" s="39"/>
      <c r="X2" s="39"/>
    </row>
    <row r="3" spans="1:24" ht="24" x14ac:dyDescent="0.3">
      <c r="A3" s="39"/>
      <c r="B3" s="562" t="s">
        <v>574</v>
      </c>
      <c r="C3" s="39"/>
      <c r="D3" s="39"/>
      <c r="E3" s="39"/>
      <c r="F3" s="39"/>
      <c r="G3" s="39"/>
      <c r="H3" s="39"/>
      <c r="I3" s="39"/>
      <c r="J3" s="39"/>
      <c r="K3" s="39"/>
      <c r="L3" s="39"/>
      <c r="M3" s="39"/>
      <c r="N3" s="562" t="s">
        <v>596</v>
      </c>
      <c r="O3" s="39"/>
      <c r="P3" s="39"/>
      <c r="Q3" s="39"/>
      <c r="R3" s="39"/>
      <c r="S3" s="39"/>
      <c r="T3" s="39"/>
      <c r="U3" s="39"/>
      <c r="V3" s="39"/>
      <c r="W3" s="39"/>
      <c r="X3" s="39"/>
    </row>
    <row r="4" spans="1:24" x14ac:dyDescent="0.2">
      <c r="A4" s="39"/>
      <c r="B4" s="39"/>
      <c r="C4" s="39"/>
      <c r="D4" s="39"/>
      <c r="E4" s="39"/>
      <c r="F4" s="39"/>
      <c r="G4" s="39"/>
      <c r="H4" s="39"/>
      <c r="I4" s="39"/>
      <c r="J4" s="39"/>
      <c r="K4" s="39"/>
      <c r="L4" s="39"/>
      <c r="M4" s="39"/>
      <c r="N4" s="39"/>
      <c r="O4" s="39"/>
      <c r="P4" s="39"/>
      <c r="Q4" s="39"/>
      <c r="R4" s="39"/>
      <c r="S4" s="39"/>
      <c r="T4" s="39"/>
      <c r="U4" s="39"/>
      <c r="V4" s="39"/>
      <c r="W4" s="39"/>
      <c r="X4" s="39"/>
    </row>
    <row r="5" spans="1:24" x14ac:dyDescent="0.2">
      <c r="A5" s="39"/>
      <c r="B5" s="39"/>
      <c r="C5" s="774" t="s">
        <v>799</v>
      </c>
      <c r="D5" s="39"/>
      <c r="E5" s="39"/>
      <c r="F5" s="39"/>
      <c r="G5" s="39"/>
      <c r="H5" s="39"/>
      <c r="I5" s="39"/>
      <c r="J5" s="39"/>
      <c r="K5" s="39"/>
      <c r="L5" s="39"/>
      <c r="M5" s="39"/>
      <c r="N5" s="39" t="s">
        <v>588</v>
      </c>
      <c r="O5" s="39"/>
      <c r="P5" s="39"/>
      <c r="Q5" s="39"/>
      <c r="R5" s="39"/>
      <c r="S5" s="39"/>
      <c r="T5" s="585" t="s">
        <v>338</v>
      </c>
      <c r="U5" s="39"/>
      <c r="V5" s="39"/>
      <c r="W5" s="39"/>
      <c r="X5" s="39"/>
    </row>
    <row r="6" spans="1:24" ht="16" thickBot="1" x14ac:dyDescent="0.25">
      <c r="A6" s="39"/>
      <c r="B6" s="39"/>
      <c r="C6" s="39"/>
      <c r="D6" s="39"/>
      <c r="E6" s="39"/>
      <c r="F6" s="39"/>
      <c r="G6" s="39"/>
      <c r="H6" s="39"/>
      <c r="I6" s="39"/>
      <c r="J6" s="39"/>
      <c r="K6" s="39"/>
      <c r="L6" s="39"/>
      <c r="M6" s="39"/>
      <c r="N6" s="39"/>
      <c r="O6" s="39"/>
      <c r="P6" s="39"/>
      <c r="Q6" s="39"/>
      <c r="R6" s="39"/>
      <c r="S6" s="39"/>
      <c r="T6" s="39"/>
      <c r="U6" s="39"/>
      <c r="V6" s="39"/>
      <c r="W6" s="39"/>
      <c r="X6" s="39"/>
    </row>
    <row r="7" spans="1:24" x14ac:dyDescent="0.2">
      <c r="A7" s="39"/>
      <c r="B7" s="39"/>
      <c r="C7" s="565"/>
      <c r="D7" s="566"/>
      <c r="E7" s="567" t="s">
        <v>236</v>
      </c>
      <c r="F7" s="567" t="s">
        <v>572</v>
      </c>
      <c r="G7" s="567" t="s">
        <v>239</v>
      </c>
      <c r="H7" s="568" t="s">
        <v>240</v>
      </c>
      <c r="I7" s="39"/>
      <c r="J7" s="39"/>
      <c r="K7" s="39"/>
      <c r="L7" s="39"/>
      <c r="M7" s="39"/>
      <c r="N7" s="39"/>
      <c r="O7" s="39"/>
      <c r="P7" s="39"/>
      <c r="Q7" s="39"/>
      <c r="R7" s="39"/>
      <c r="S7" s="39"/>
      <c r="T7" s="39"/>
      <c r="U7" s="39"/>
      <c r="V7" s="39"/>
      <c r="W7" s="39"/>
      <c r="X7" s="39"/>
    </row>
    <row r="8" spans="1:24" x14ac:dyDescent="0.2">
      <c r="A8" s="39"/>
      <c r="B8" s="39"/>
      <c r="C8" s="569" t="s">
        <v>76</v>
      </c>
      <c r="D8" s="570"/>
      <c r="E8" s="571">
        <v>40.15</v>
      </c>
      <c r="F8" s="571">
        <v>0.55000000000000004</v>
      </c>
      <c r="G8" s="571">
        <v>1.4</v>
      </c>
      <c r="H8" s="572">
        <v>4.1589999999999998</v>
      </c>
      <c r="I8" s="39"/>
      <c r="J8" s="39"/>
      <c r="K8" s="583"/>
      <c r="L8" s="583"/>
      <c r="M8" s="583"/>
      <c r="N8" s="584" t="s">
        <v>586</v>
      </c>
      <c r="O8" s="583"/>
      <c r="P8" s="583"/>
      <c r="Q8" s="583"/>
      <c r="R8" s="584" t="s">
        <v>587</v>
      </c>
      <c r="S8" s="583"/>
      <c r="T8" s="583"/>
      <c r="U8" s="583"/>
      <c r="V8" s="583"/>
      <c r="W8" s="583"/>
      <c r="X8" s="39"/>
    </row>
    <row r="9" spans="1:24" ht="15" customHeight="1" x14ac:dyDescent="0.2">
      <c r="A9" s="39"/>
      <c r="B9" s="39"/>
      <c r="C9" s="555"/>
      <c r="D9" s="553"/>
      <c r="E9" s="553"/>
      <c r="F9" s="553"/>
      <c r="G9" s="553"/>
      <c r="H9" s="556"/>
      <c r="I9" s="39"/>
      <c r="J9" s="39"/>
      <c r="K9" s="876"/>
      <c r="L9" s="876"/>
      <c r="M9" s="876"/>
      <c r="N9" s="583">
        <f>IF(T5="STW2",F15,F30)-E46-(J46*TOPF!F10)-('STW2 Demographic'!I46*'STW2 Demographic'!K25)</f>
        <v>41.416874000000007</v>
      </c>
      <c r="O9" s="583"/>
      <c r="P9" s="583"/>
      <c r="Q9" s="583"/>
      <c r="R9" s="590">
        <f>(((5*(500000*SQRT(1000000000000*$N$9^(2)-81272428214531*$N$9+1703693644612000)+500000000000*$N$9-20318107053633))^(((2)/(3)))*14662756598241^(((1)/(3)))+1977517106.5494*(500000*SQRT(1000000000000*$N$9^(2)-81272428214531*$N$9+1703693644612000)+500000000000*$N$9-20318107053633)^(((1)/(3)))-16870171958773)/(50000000*(500000*SQRT(1000000000000*$N$9^(2)-81272428214531*$N$9+1703693644612000)+500000000000*$N$9-20318107053633)^(((1)/(3)))))</f>
        <v>41.127746281018567</v>
      </c>
      <c r="S9" s="583"/>
      <c r="T9" s="583"/>
      <c r="U9" s="583"/>
      <c r="V9" s="583"/>
      <c r="W9" s="583"/>
      <c r="X9" s="39"/>
    </row>
    <row r="10" spans="1:24" x14ac:dyDescent="0.2">
      <c r="A10" s="39"/>
      <c r="B10" s="39"/>
      <c r="C10" s="555" t="s">
        <v>573</v>
      </c>
      <c r="D10" s="553"/>
      <c r="E10" s="553"/>
      <c r="F10" s="553"/>
      <c r="G10" s="561">
        <f>'Front Page &amp; Raw Test Scores'!D30</f>
        <v>0</v>
      </c>
      <c r="H10" s="556"/>
      <c r="I10" s="39"/>
      <c r="J10" s="39"/>
      <c r="K10" s="876"/>
      <c r="L10" s="876"/>
      <c r="M10" s="876"/>
      <c r="N10" s="39"/>
      <c r="O10" s="39"/>
      <c r="P10" s="39"/>
      <c r="Q10" s="39"/>
      <c r="R10" s="39"/>
      <c r="S10" s="39"/>
      <c r="T10" s="39"/>
      <c r="U10" s="39"/>
      <c r="V10" s="39"/>
      <c r="W10" s="39"/>
      <c r="X10" s="39"/>
    </row>
    <row r="11" spans="1:24" x14ac:dyDescent="0.2">
      <c r="A11" s="39"/>
      <c r="B11" s="39"/>
      <c r="C11" s="555" t="s">
        <v>242</v>
      </c>
      <c r="D11" s="553"/>
      <c r="E11" s="553"/>
      <c r="F11" s="553"/>
      <c r="G11" s="561">
        <f>TOPF!F9</f>
        <v>10</v>
      </c>
      <c r="H11" s="556"/>
      <c r="I11" s="39"/>
      <c r="J11" s="39"/>
      <c r="K11" s="39"/>
      <c r="L11" s="39"/>
      <c r="M11" s="39"/>
      <c r="N11" s="39"/>
      <c r="O11" s="39"/>
      <c r="P11" s="39"/>
      <c r="Q11" s="39"/>
      <c r="R11" s="39"/>
      <c r="S11" s="39"/>
      <c r="T11" s="39"/>
      <c r="U11" s="39"/>
      <c r="V11" s="39"/>
      <c r="W11" s="39"/>
      <c r="X11" s="39"/>
    </row>
    <row r="12" spans="1:24" x14ac:dyDescent="0.2">
      <c r="A12" s="39"/>
      <c r="B12" s="39"/>
      <c r="C12" s="555" t="s">
        <v>243</v>
      </c>
      <c r="D12" s="553"/>
      <c r="E12" s="553"/>
      <c r="F12" s="77" t="str">
        <f>TOPF!E10</f>
        <v>Female</v>
      </c>
      <c r="G12" s="554">
        <f>IF(F12="Female",1,2)</f>
        <v>1</v>
      </c>
      <c r="H12" s="556"/>
      <c r="I12" s="39"/>
      <c r="J12" s="39"/>
      <c r="K12" s="39"/>
      <c r="L12" s="39"/>
      <c r="M12" s="39"/>
      <c r="N12" s="39"/>
      <c r="O12" s="39"/>
      <c r="P12" s="39"/>
      <c r="Q12" s="39"/>
      <c r="R12" s="39"/>
      <c r="S12" s="39"/>
      <c r="T12" s="39"/>
      <c r="U12" s="39"/>
      <c r="V12" s="39"/>
      <c r="W12" s="39"/>
      <c r="X12" s="39"/>
    </row>
    <row r="13" spans="1:24" x14ac:dyDescent="0.2">
      <c r="A13" s="39"/>
      <c r="B13" s="39"/>
      <c r="C13" s="555"/>
      <c r="D13" s="553"/>
      <c r="E13" s="553"/>
      <c r="F13" s="553"/>
      <c r="G13" s="553"/>
      <c r="H13" s="556"/>
      <c r="I13" s="39"/>
      <c r="J13" s="39"/>
      <c r="K13" s="39"/>
      <c r="L13" s="39"/>
      <c r="M13" s="39"/>
      <c r="N13" s="39"/>
      <c r="O13" s="39"/>
      <c r="P13" s="39"/>
      <c r="Q13" s="39"/>
      <c r="R13" s="39"/>
      <c r="S13" s="39"/>
      <c r="T13" s="39"/>
      <c r="U13" s="39"/>
      <c r="V13" s="39"/>
      <c r="W13" s="39"/>
      <c r="X13" s="39"/>
    </row>
    <row r="14" spans="1:24" ht="16" thickBot="1" x14ac:dyDescent="0.25">
      <c r="A14" s="39"/>
      <c r="B14" s="39"/>
      <c r="C14" s="555"/>
      <c r="D14" s="553"/>
      <c r="E14" s="553"/>
      <c r="F14" s="553"/>
      <c r="G14" s="553"/>
      <c r="H14" s="556"/>
      <c r="I14" s="39"/>
      <c r="J14" s="39"/>
      <c r="K14" s="39"/>
      <c r="L14" s="39"/>
      <c r="M14" s="39"/>
      <c r="N14" s="427" t="s">
        <v>740</v>
      </c>
      <c r="O14" s="39"/>
      <c r="P14" s="39"/>
      <c r="Q14" s="39"/>
      <c r="R14" s="39"/>
      <c r="S14" s="39"/>
      <c r="T14" s="39"/>
      <c r="U14" s="39"/>
      <c r="V14" s="39"/>
      <c r="W14" s="39"/>
      <c r="X14" s="39"/>
    </row>
    <row r="15" spans="1:24" ht="16" thickBot="1" x14ac:dyDescent="0.25">
      <c r="A15" s="39"/>
      <c r="B15" s="39"/>
      <c r="C15" s="552" t="s">
        <v>245</v>
      </c>
      <c r="D15" s="553"/>
      <c r="E15" s="553"/>
      <c r="F15" s="557">
        <f>E8+(F8*G10)+(G8*G11)+(H8*G12)</f>
        <v>58.308999999999997</v>
      </c>
      <c r="G15" s="553"/>
      <c r="H15" s="556"/>
      <c r="I15" s="39"/>
      <c r="J15" s="39"/>
      <c r="K15" s="39"/>
      <c r="L15" s="39"/>
      <c r="M15" s="39"/>
      <c r="N15" s="39" t="str">
        <f>'Front Page &amp; Raw Test Scores'!D26</f>
        <v>TOPF</v>
      </c>
      <c r="O15" s="39"/>
      <c r="P15" s="39"/>
      <c r="Q15" s="39"/>
      <c r="R15" s="39"/>
      <c r="S15" s="39"/>
      <c r="T15" s="39"/>
      <c r="U15" s="39"/>
      <c r="V15" s="39"/>
      <c r="W15" s="39"/>
      <c r="X15" s="39"/>
    </row>
    <row r="16" spans="1:24" ht="16" thickBot="1" x14ac:dyDescent="0.25">
      <c r="A16" s="39"/>
      <c r="B16" s="39"/>
      <c r="C16" s="558"/>
      <c r="D16" s="559"/>
      <c r="E16" s="559"/>
      <c r="F16" s="559"/>
      <c r="G16" s="559"/>
      <c r="H16" s="560"/>
      <c r="I16" s="39"/>
      <c r="J16" s="39"/>
      <c r="K16" s="39"/>
      <c r="L16" s="39"/>
      <c r="M16" s="39"/>
      <c r="N16" s="39"/>
      <c r="O16" s="39"/>
      <c r="P16" s="39"/>
      <c r="Q16" s="39"/>
      <c r="R16" s="39"/>
      <c r="S16" s="39"/>
      <c r="T16" s="39"/>
      <c r="U16" s="39"/>
      <c r="V16" s="39"/>
      <c r="W16" s="39"/>
      <c r="X16" s="39"/>
    </row>
    <row r="17" spans="1:24" x14ac:dyDescent="0.2">
      <c r="A17" s="39"/>
      <c r="B17" s="39"/>
      <c r="C17" s="39"/>
      <c r="D17" s="39"/>
      <c r="E17" s="39"/>
      <c r="F17" s="39"/>
      <c r="G17" s="39"/>
      <c r="H17" s="39"/>
      <c r="I17" s="39"/>
      <c r="J17" s="39"/>
      <c r="K17" s="39"/>
      <c r="L17" s="39"/>
      <c r="M17" s="39"/>
      <c r="N17" s="39"/>
      <c r="O17" s="39"/>
      <c r="P17" s="39"/>
      <c r="Q17" s="39"/>
      <c r="R17" s="39"/>
      <c r="S17" s="39"/>
      <c r="T17" s="39"/>
      <c r="U17" s="39"/>
      <c r="V17" s="39"/>
      <c r="W17" s="39"/>
      <c r="X17" s="39"/>
    </row>
    <row r="18" spans="1:24" x14ac:dyDescent="0.2">
      <c r="A18" s="39"/>
      <c r="B18" s="39"/>
      <c r="C18" s="39"/>
      <c r="D18" s="39"/>
      <c r="E18" s="39"/>
      <c r="F18" s="39"/>
      <c r="G18" s="39"/>
      <c r="H18" s="39"/>
      <c r="I18" s="39"/>
      <c r="J18" s="39"/>
      <c r="K18" s="39"/>
      <c r="L18" s="39"/>
      <c r="M18" s="39"/>
      <c r="N18" s="39"/>
      <c r="O18" s="39"/>
      <c r="P18" s="39"/>
      <c r="Q18" s="39"/>
      <c r="R18" s="39"/>
      <c r="S18" s="39"/>
      <c r="T18" s="39"/>
      <c r="U18" s="39"/>
      <c r="V18" s="39"/>
      <c r="W18" s="39"/>
      <c r="X18" s="39"/>
    </row>
    <row r="19" spans="1:24" x14ac:dyDescent="0.2">
      <c r="A19" s="39"/>
      <c r="B19" s="39"/>
      <c r="C19" s="39"/>
      <c r="D19" s="39"/>
      <c r="E19" s="39"/>
      <c r="F19" s="39"/>
      <c r="G19" s="39"/>
      <c r="H19" s="39"/>
      <c r="I19" s="39"/>
      <c r="J19" s="39"/>
      <c r="K19" s="39"/>
      <c r="L19" s="39"/>
      <c r="M19" s="39"/>
      <c r="N19" s="39"/>
      <c r="O19" s="39"/>
      <c r="P19" s="39"/>
      <c r="Q19" s="39"/>
      <c r="R19" s="39"/>
      <c r="S19" s="39"/>
      <c r="T19" s="39"/>
      <c r="U19" s="39"/>
      <c r="V19" s="39"/>
      <c r="W19" s="39"/>
      <c r="X19" s="39"/>
    </row>
    <row r="20" spans="1:24" ht="21" x14ac:dyDescent="0.25">
      <c r="A20" s="39"/>
      <c r="B20" s="563" t="s">
        <v>575</v>
      </c>
      <c r="C20" s="39"/>
      <c r="D20" s="39"/>
      <c r="E20" s="39"/>
      <c r="F20" s="39"/>
      <c r="G20" s="39"/>
      <c r="H20" s="39"/>
      <c r="I20" s="39"/>
      <c r="J20" s="39"/>
      <c r="K20" s="39"/>
      <c r="L20" s="39"/>
      <c r="M20" s="39"/>
      <c r="N20" s="39"/>
      <c r="O20" s="39"/>
      <c r="P20" s="39"/>
      <c r="Q20" s="39"/>
      <c r="R20" s="39"/>
      <c r="S20" s="39"/>
      <c r="T20" s="39"/>
      <c r="U20" s="39"/>
      <c r="V20" s="39"/>
      <c r="W20" s="39"/>
      <c r="X20" s="39"/>
    </row>
    <row r="21" spans="1:24" ht="16" thickBot="1" x14ac:dyDescent="0.25">
      <c r="A21" s="39"/>
      <c r="B21" s="39"/>
      <c r="C21" s="39"/>
      <c r="D21" s="39"/>
      <c r="E21" s="39"/>
      <c r="F21" s="39"/>
      <c r="G21" s="39"/>
      <c r="H21" s="39"/>
      <c r="I21" s="39"/>
      <c r="J21" s="39"/>
      <c r="K21" s="39"/>
      <c r="L21" s="39"/>
      <c r="M21" s="39"/>
      <c r="N21" s="39"/>
      <c r="O21" s="39"/>
      <c r="P21" s="39"/>
      <c r="Q21" s="39"/>
      <c r="R21" s="39"/>
      <c r="S21" s="39"/>
      <c r="T21" s="39"/>
      <c r="U21" s="39"/>
      <c r="V21" s="39"/>
      <c r="W21" s="39"/>
      <c r="X21" s="39"/>
    </row>
    <row r="22" spans="1:24" x14ac:dyDescent="0.2">
      <c r="A22" s="39"/>
      <c r="B22" s="39"/>
      <c r="C22" s="573"/>
      <c r="D22" s="574"/>
      <c r="E22" s="574"/>
      <c r="F22" s="574"/>
      <c r="G22" s="574"/>
      <c r="H22" s="574"/>
      <c r="I22" s="574"/>
      <c r="J22" s="574"/>
      <c r="K22" s="574"/>
      <c r="L22" s="575"/>
      <c r="M22" s="39"/>
      <c r="N22" s="39"/>
      <c r="O22" s="39"/>
      <c r="P22" s="39"/>
      <c r="Q22" s="39"/>
      <c r="R22" s="39"/>
      <c r="S22" s="39"/>
      <c r="T22" s="39"/>
      <c r="U22" s="39"/>
      <c r="V22" s="39"/>
      <c r="W22" s="39"/>
      <c r="X22" s="39"/>
    </row>
    <row r="23" spans="1:24" ht="16" thickBot="1" x14ac:dyDescent="0.25">
      <c r="A23" s="39"/>
      <c r="B23" s="39"/>
      <c r="C23" s="576"/>
      <c r="D23" s="39"/>
      <c r="E23" s="39"/>
      <c r="F23" s="39"/>
      <c r="G23" s="39"/>
      <c r="H23" s="39"/>
      <c r="I23" s="39"/>
      <c r="J23" s="39"/>
      <c r="K23" s="39"/>
      <c r="L23" s="577"/>
      <c r="M23" s="39"/>
      <c r="N23" s="39"/>
      <c r="O23" s="39"/>
      <c r="P23" s="39"/>
      <c r="Q23" s="39"/>
      <c r="R23" s="39"/>
      <c r="S23" s="39"/>
      <c r="T23" s="39"/>
      <c r="U23" s="39"/>
      <c r="V23" s="39"/>
      <c r="W23" s="39"/>
      <c r="X23" s="39"/>
    </row>
    <row r="24" spans="1:24" ht="16" thickBot="1" x14ac:dyDescent="0.25">
      <c r="A24" s="39"/>
      <c r="B24" s="39"/>
      <c r="C24" s="578" t="s">
        <v>570</v>
      </c>
      <c r="D24" s="39"/>
      <c r="E24" s="873" t="str">
        <f>'Front Page &amp; Raw Test Scores'!D21</f>
        <v>Unskilled/never employed</v>
      </c>
      <c r="F24" s="874"/>
      <c r="G24" s="875"/>
      <c r="H24" s="76"/>
      <c r="I24" s="39" t="s">
        <v>576</v>
      </c>
      <c r="J24" s="39"/>
      <c r="K24" s="561">
        <f>IF(E24="Professional",1,IF(E24="Intermediate",2,IF(E24="Skilled Manual",3,IF(E24="Semi-skilled Manual",4,5))))</f>
        <v>5</v>
      </c>
      <c r="L24" s="577"/>
      <c r="M24" s="39"/>
      <c r="N24" s="39"/>
      <c r="O24" s="39"/>
      <c r="P24" s="39"/>
      <c r="Q24" s="39"/>
      <c r="R24" s="39"/>
      <c r="S24" s="39"/>
      <c r="T24" s="39"/>
      <c r="U24" s="39"/>
      <c r="V24" s="39"/>
      <c r="W24" s="39"/>
      <c r="X24" s="39"/>
    </row>
    <row r="25" spans="1:24" x14ac:dyDescent="0.2">
      <c r="A25" s="39"/>
      <c r="B25" s="39"/>
      <c r="C25" s="576"/>
      <c r="D25" s="39"/>
      <c r="E25" s="39"/>
      <c r="F25" s="39"/>
      <c r="G25" s="39"/>
      <c r="H25" s="76"/>
      <c r="I25" s="39" t="s">
        <v>582</v>
      </c>
      <c r="J25" s="39"/>
      <c r="K25" s="561">
        <f>TOPF!F9</f>
        <v>10</v>
      </c>
      <c r="L25" s="577" t="s">
        <v>583</v>
      </c>
      <c r="M25" s="39"/>
      <c r="N25" s="39"/>
      <c r="O25" s="39"/>
      <c r="P25" s="39"/>
      <c r="Q25" s="39"/>
      <c r="R25" s="39"/>
      <c r="S25" s="39"/>
      <c r="T25" s="39"/>
      <c r="U25" s="39"/>
      <c r="V25" s="39"/>
      <c r="W25" s="39"/>
      <c r="X25" s="39"/>
    </row>
    <row r="26" spans="1:24" x14ac:dyDescent="0.2">
      <c r="A26" s="39"/>
      <c r="B26" s="39"/>
      <c r="C26" s="576"/>
      <c r="D26" s="39"/>
      <c r="E26" s="39"/>
      <c r="F26" s="39"/>
      <c r="G26" s="39"/>
      <c r="H26" s="76"/>
      <c r="I26" s="39" t="s">
        <v>243</v>
      </c>
      <c r="J26" s="39"/>
      <c r="K26" s="561">
        <f>TOPF!F10</f>
        <v>1</v>
      </c>
      <c r="L26" s="577" t="s">
        <v>584</v>
      </c>
      <c r="M26" s="39"/>
      <c r="N26" s="39"/>
      <c r="O26" s="39"/>
      <c r="P26" s="39"/>
      <c r="Q26" s="39"/>
      <c r="R26" s="39"/>
      <c r="S26" s="39"/>
      <c r="T26" s="39"/>
      <c r="U26" s="39"/>
      <c r="V26" s="39"/>
      <c r="W26" s="39"/>
      <c r="X26" s="39"/>
    </row>
    <row r="27" spans="1:24" x14ac:dyDescent="0.2">
      <c r="A27" s="39"/>
      <c r="B27" s="39"/>
      <c r="C27" s="576"/>
      <c r="D27" s="39"/>
      <c r="E27" s="39"/>
      <c r="F27" s="39"/>
      <c r="G27" s="39"/>
      <c r="H27" s="76"/>
      <c r="I27" s="39"/>
      <c r="J27" s="39"/>
      <c r="K27" s="39"/>
      <c r="L27" s="577"/>
      <c r="M27" s="39"/>
      <c r="N27" s="39"/>
      <c r="O27" s="39"/>
      <c r="P27" s="39"/>
      <c r="Q27" s="39"/>
      <c r="R27" s="39"/>
      <c r="S27" s="39"/>
      <c r="T27" s="39"/>
      <c r="U27" s="39"/>
      <c r="V27" s="39"/>
      <c r="W27" s="39"/>
      <c r="X27" s="39"/>
    </row>
    <row r="28" spans="1:24" x14ac:dyDescent="0.2">
      <c r="A28" s="39"/>
      <c r="B28" s="39"/>
      <c r="C28" s="576" t="s">
        <v>569</v>
      </c>
      <c r="D28" s="39"/>
      <c r="E28" s="39"/>
      <c r="F28" s="39"/>
      <c r="G28" s="39"/>
      <c r="H28" s="76"/>
      <c r="I28" s="39"/>
      <c r="J28" s="39"/>
      <c r="K28" s="39"/>
      <c r="L28" s="577"/>
      <c r="M28" s="39"/>
      <c r="N28" s="39"/>
      <c r="O28" s="39"/>
      <c r="P28" s="39"/>
      <c r="Q28" s="39"/>
      <c r="R28" s="39"/>
      <c r="S28" s="39"/>
      <c r="T28" s="39"/>
      <c r="U28" s="39"/>
      <c r="V28" s="39"/>
      <c r="W28" s="39"/>
      <c r="X28" s="39"/>
    </row>
    <row r="29" spans="1:24" ht="16" thickBot="1" x14ac:dyDescent="0.25">
      <c r="A29" s="39"/>
      <c r="B29" s="39"/>
      <c r="C29" s="576"/>
      <c r="D29" s="39"/>
      <c r="E29" s="39"/>
      <c r="F29" s="39"/>
      <c r="G29" s="39"/>
      <c r="H29" s="39"/>
      <c r="I29" s="39"/>
      <c r="J29" s="39"/>
      <c r="K29" s="39"/>
      <c r="L29" s="577"/>
      <c r="M29" s="39"/>
      <c r="N29" s="39"/>
      <c r="O29" s="39"/>
      <c r="P29" s="39"/>
      <c r="Q29" s="39"/>
      <c r="R29" s="39"/>
      <c r="S29" s="39"/>
      <c r="T29" s="39"/>
      <c r="U29" s="39"/>
      <c r="V29" s="39"/>
      <c r="W29" s="39"/>
      <c r="X29" s="39"/>
    </row>
    <row r="30" spans="1:24" ht="16" thickBot="1" x14ac:dyDescent="0.25">
      <c r="A30" s="39"/>
      <c r="B30" s="39"/>
      <c r="C30" s="576" t="s">
        <v>571</v>
      </c>
      <c r="D30" s="39"/>
      <c r="E30" s="39"/>
      <c r="F30" s="582">
        <f>87.14-(5.21*K24)+(1.78*TOPF!F9)+(0.18*TOPF!F11)</f>
        <v>90.95</v>
      </c>
      <c r="G30" s="39" t="s">
        <v>585</v>
      </c>
      <c r="H30" s="39"/>
      <c r="I30" s="39"/>
      <c r="J30" s="39"/>
      <c r="K30" s="39"/>
      <c r="L30" s="577"/>
      <c r="M30" s="39"/>
      <c r="N30" s="39"/>
      <c r="O30" s="39"/>
      <c r="P30" s="39"/>
      <c r="Q30" s="39"/>
      <c r="R30" s="39"/>
      <c r="S30" s="39"/>
      <c r="T30" s="39"/>
      <c r="U30" s="39"/>
      <c r="V30" s="39"/>
      <c r="W30" s="39"/>
      <c r="X30" s="39"/>
    </row>
    <row r="31" spans="1:24" ht="16" thickBot="1" x14ac:dyDescent="0.25">
      <c r="A31" s="39"/>
      <c r="B31" s="39"/>
      <c r="C31" s="579"/>
      <c r="D31" s="580"/>
      <c r="E31" s="580"/>
      <c r="F31" s="580"/>
      <c r="G31" s="580"/>
      <c r="H31" s="580"/>
      <c r="I31" s="580"/>
      <c r="J31" s="580"/>
      <c r="K31" s="580"/>
      <c r="L31" s="581"/>
      <c r="M31" s="39"/>
      <c r="N31" s="39"/>
      <c r="O31" s="39"/>
      <c r="P31" s="39"/>
      <c r="Q31" s="39"/>
      <c r="R31" s="39"/>
      <c r="S31" s="39"/>
      <c r="T31" s="39"/>
      <c r="U31" s="39"/>
      <c r="V31" s="39"/>
      <c r="W31" s="39"/>
      <c r="X31" s="39"/>
    </row>
    <row r="32" spans="1:24" x14ac:dyDescent="0.2">
      <c r="A32" s="39"/>
      <c r="B32" s="39"/>
      <c r="C32" s="39"/>
      <c r="D32" s="39"/>
      <c r="E32" s="39"/>
      <c r="F32" s="39"/>
      <c r="G32" s="39"/>
      <c r="H32" s="39"/>
      <c r="I32" s="39"/>
      <c r="J32" s="39"/>
      <c r="K32" s="39"/>
      <c r="L32" s="39"/>
      <c r="M32" s="39"/>
      <c r="N32" s="39"/>
      <c r="O32" s="39"/>
      <c r="P32" s="39"/>
      <c r="Q32" s="39"/>
      <c r="R32" s="39"/>
      <c r="S32" s="39"/>
      <c r="T32" s="39"/>
      <c r="U32" s="39"/>
      <c r="V32" s="39"/>
      <c r="W32" s="39"/>
      <c r="X32" s="39"/>
    </row>
    <row r="33" spans="1:24" x14ac:dyDescent="0.2">
      <c r="A33" s="39"/>
      <c r="B33" s="39"/>
      <c r="C33" s="427"/>
      <c r="D33" s="39"/>
      <c r="E33" s="39"/>
      <c r="F33" s="39"/>
      <c r="G33" s="39"/>
      <c r="H33" s="39"/>
      <c r="I33" s="39"/>
      <c r="J33" s="39"/>
      <c r="K33" s="39"/>
      <c r="L33" s="39"/>
      <c r="M33" s="39"/>
      <c r="N33" s="39"/>
      <c r="O33" s="39"/>
      <c r="P33" s="39"/>
      <c r="Q33" s="39"/>
      <c r="R33" s="39"/>
      <c r="S33" s="39"/>
      <c r="T33" s="39"/>
      <c r="U33" s="39"/>
      <c r="V33" s="39"/>
      <c r="W33" s="39"/>
      <c r="X33" s="39"/>
    </row>
    <row r="34" spans="1:24" x14ac:dyDescent="0.2">
      <c r="A34" s="39"/>
      <c r="B34" s="39"/>
      <c r="C34" s="39"/>
      <c r="D34" s="39"/>
      <c r="E34" s="39"/>
      <c r="F34" s="39"/>
      <c r="G34" s="39"/>
      <c r="H34" s="39"/>
      <c r="I34" s="39"/>
      <c r="J34" s="39"/>
      <c r="K34" s="39"/>
      <c r="L34" s="39"/>
      <c r="M34" s="39"/>
      <c r="N34" s="39"/>
      <c r="O34" s="39"/>
      <c r="P34" s="39"/>
      <c r="Q34" s="39"/>
      <c r="R34" s="39"/>
      <c r="S34" s="39"/>
      <c r="T34" s="39"/>
      <c r="U34" s="39"/>
      <c r="V34" s="39"/>
      <c r="W34" s="39"/>
      <c r="X34" s="39"/>
    </row>
    <row r="35" spans="1:24" x14ac:dyDescent="0.2">
      <c r="A35" s="39"/>
      <c r="B35" s="39"/>
      <c r="C35" s="564"/>
      <c r="D35" s="564"/>
      <c r="E35" s="39"/>
      <c r="F35" s="39"/>
      <c r="G35" s="39"/>
      <c r="H35" s="39"/>
      <c r="I35" s="39"/>
      <c r="J35" s="39"/>
      <c r="K35" s="39"/>
      <c r="L35" s="39"/>
      <c r="M35" s="39"/>
      <c r="N35" s="39"/>
      <c r="O35" s="39"/>
      <c r="P35" s="39"/>
      <c r="Q35" s="39"/>
      <c r="R35" s="39"/>
      <c r="S35" s="39"/>
      <c r="T35" s="39"/>
      <c r="U35" s="39"/>
      <c r="V35" s="39"/>
      <c r="W35" s="39"/>
      <c r="X35" s="39"/>
    </row>
    <row r="36" spans="1:24" x14ac:dyDescent="0.2">
      <c r="A36" s="39"/>
      <c r="B36" s="39"/>
      <c r="C36" s="39"/>
      <c r="D36" s="39"/>
      <c r="E36" s="39"/>
      <c r="F36" s="39"/>
      <c r="G36" s="39"/>
      <c r="H36" s="39"/>
      <c r="I36" s="39"/>
      <c r="J36" s="39"/>
      <c r="K36" s="39"/>
      <c r="L36" s="39"/>
      <c r="M36" s="39"/>
      <c r="N36" s="39"/>
      <c r="O36" s="39"/>
      <c r="P36" s="39"/>
      <c r="Q36" s="39"/>
      <c r="R36" s="39"/>
      <c r="S36" s="39"/>
      <c r="T36" s="39"/>
      <c r="U36" s="39"/>
      <c r="V36" s="39"/>
      <c r="W36" s="39"/>
      <c r="X36" s="39"/>
    </row>
    <row r="37" spans="1:24" x14ac:dyDescent="0.2">
      <c r="A37" s="39"/>
      <c r="B37" s="39"/>
      <c r="C37" s="564"/>
      <c r="D37" s="39"/>
      <c r="E37" s="39"/>
      <c r="F37" s="39"/>
      <c r="G37" s="39"/>
      <c r="H37" s="39"/>
      <c r="I37" s="39"/>
      <c r="J37" s="39"/>
      <c r="K37" s="39"/>
      <c r="L37" s="39"/>
      <c r="M37" s="39"/>
      <c r="N37" s="39"/>
      <c r="O37" s="39"/>
      <c r="P37" s="39"/>
      <c r="Q37" s="39"/>
      <c r="R37" s="39"/>
      <c r="S37" s="39"/>
      <c r="T37" s="39"/>
      <c r="U37" s="39"/>
      <c r="V37" s="39"/>
      <c r="W37" s="39"/>
      <c r="X37" s="39"/>
    </row>
    <row r="38" spans="1:24" x14ac:dyDescent="0.2">
      <c r="A38" s="39"/>
      <c r="B38" s="39"/>
      <c r="C38" s="39"/>
      <c r="D38" s="39"/>
      <c r="E38" s="39"/>
      <c r="F38" s="39"/>
      <c r="G38" s="39"/>
      <c r="H38" s="39"/>
      <c r="I38" s="39"/>
      <c r="J38" s="564"/>
      <c r="K38" s="39"/>
      <c r="L38" s="39"/>
      <c r="M38" s="39"/>
      <c r="N38" s="39"/>
      <c r="O38" s="39"/>
      <c r="P38" s="39"/>
      <c r="Q38" s="39"/>
      <c r="R38" s="39"/>
      <c r="S38" s="39"/>
      <c r="T38" s="39"/>
      <c r="U38" s="39"/>
      <c r="V38" s="39"/>
      <c r="W38" s="39"/>
      <c r="X38" s="39"/>
    </row>
    <row r="39" spans="1:24" x14ac:dyDescent="0.2">
      <c r="A39" s="39"/>
      <c r="B39" s="39"/>
      <c r="C39" s="39"/>
      <c r="D39" s="39"/>
      <c r="E39" s="39"/>
      <c r="F39" s="39"/>
      <c r="G39" s="39"/>
      <c r="H39" s="39"/>
      <c r="I39" s="39"/>
      <c r="J39" s="39"/>
      <c r="K39" s="39"/>
      <c r="L39" s="39"/>
      <c r="M39" s="39"/>
      <c r="N39" s="39"/>
      <c r="O39" s="39"/>
      <c r="P39" s="39"/>
      <c r="Q39" s="39"/>
      <c r="R39" s="39"/>
      <c r="S39" s="39"/>
      <c r="T39" s="39"/>
      <c r="U39" s="39"/>
      <c r="V39" s="39"/>
      <c r="W39" s="39"/>
      <c r="X39" s="39"/>
    </row>
    <row r="40" spans="1:24" x14ac:dyDescent="0.2">
      <c r="A40" s="39"/>
      <c r="B40" s="39"/>
      <c r="C40" s="39"/>
      <c r="D40" s="39"/>
      <c r="E40" s="39"/>
      <c r="F40" s="39"/>
      <c r="G40" s="39"/>
      <c r="H40" s="39"/>
      <c r="I40" s="39"/>
      <c r="J40" s="39"/>
      <c r="K40" s="39"/>
      <c r="L40" s="39"/>
      <c r="M40" s="39"/>
      <c r="N40" s="39"/>
      <c r="O40" s="39"/>
      <c r="P40" s="39"/>
      <c r="Q40" s="39"/>
      <c r="R40" s="39"/>
      <c r="S40" s="39"/>
      <c r="T40" s="39"/>
      <c r="U40" s="39"/>
      <c r="V40" s="39"/>
      <c r="W40" s="39"/>
      <c r="X40" s="39"/>
    </row>
    <row r="41" spans="1:24" x14ac:dyDescent="0.2">
      <c r="A41" s="39"/>
      <c r="B41" s="39"/>
      <c r="C41" s="39"/>
      <c r="D41" s="39"/>
      <c r="E41" s="39"/>
      <c r="F41" s="39"/>
      <c r="G41" s="39"/>
      <c r="H41" s="39"/>
      <c r="I41" s="39"/>
      <c r="J41" s="39"/>
      <c r="K41" s="39"/>
      <c r="L41" s="39"/>
      <c r="M41" s="39"/>
      <c r="N41" s="39"/>
      <c r="O41" s="39"/>
      <c r="P41" s="39"/>
      <c r="Q41" s="39"/>
      <c r="R41" s="39"/>
      <c r="S41" s="39"/>
      <c r="T41" s="39"/>
      <c r="U41" s="39"/>
      <c r="V41" s="39"/>
      <c r="W41" s="39"/>
      <c r="X41" s="39"/>
    </row>
    <row r="42" spans="1:24" x14ac:dyDescent="0.2">
      <c r="A42" s="39"/>
      <c r="B42" s="39"/>
      <c r="C42" s="39"/>
      <c r="D42" s="39"/>
      <c r="E42" s="39"/>
      <c r="F42" s="39"/>
      <c r="G42" s="564"/>
      <c r="H42" s="39"/>
      <c r="I42" s="39"/>
      <c r="J42" s="39"/>
      <c r="K42" s="39"/>
      <c r="L42" s="564"/>
      <c r="M42" s="39"/>
      <c r="N42" s="39"/>
      <c r="O42" s="39"/>
      <c r="P42" s="39"/>
      <c r="Q42" s="39"/>
      <c r="R42" s="39"/>
      <c r="S42" s="39"/>
      <c r="T42" s="39"/>
      <c r="U42" s="39"/>
      <c r="V42" s="39"/>
      <c r="W42" s="39"/>
      <c r="X42" s="39"/>
    </row>
    <row r="43" spans="1:24" x14ac:dyDescent="0.2">
      <c r="A43" s="39"/>
      <c r="B43" s="39"/>
      <c r="C43" s="39"/>
      <c r="D43" s="39"/>
      <c r="E43" s="39"/>
      <c r="F43" s="39"/>
      <c r="G43" s="39"/>
      <c r="H43" s="39"/>
      <c r="I43" s="39"/>
      <c r="J43" s="39"/>
      <c r="K43" s="39"/>
      <c r="L43" s="39"/>
      <c r="M43" s="39"/>
      <c r="N43" s="39"/>
      <c r="O43" s="39"/>
      <c r="P43" s="39"/>
      <c r="Q43" s="39"/>
      <c r="R43" s="39"/>
      <c r="S43" s="39"/>
      <c r="T43" s="39"/>
      <c r="U43" s="39"/>
      <c r="V43" s="39"/>
      <c r="W43" s="39"/>
      <c r="X43" s="39"/>
    </row>
    <row r="44" spans="1:24" x14ac:dyDescent="0.2">
      <c r="A44" s="39"/>
      <c r="B44" s="39"/>
      <c r="C44" s="39"/>
      <c r="D44" s="39"/>
      <c r="E44" s="39"/>
      <c r="F44" s="39"/>
      <c r="G44" s="39"/>
      <c r="H44" s="39"/>
      <c r="I44" s="39"/>
      <c r="J44" s="39"/>
      <c r="K44" s="39"/>
      <c r="L44" s="564"/>
      <c r="M44" s="39"/>
      <c r="N44" s="39"/>
      <c r="O44" s="39"/>
      <c r="P44" s="39"/>
      <c r="Q44" s="39"/>
      <c r="R44" s="39"/>
      <c r="S44" s="39"/>
      <c r="T44" s="39"/>
      <c r="U44" s="39"/>
      <c r="V44" s="39"/>
      <c r="W44" s="39"/>
      <c r="X44" s="39"/>
    </row>
    <row r="45" spans="1:24" x14ac:dyDescent="0.2">
      <c r="A45" s="39"/>
      <c r="B45" s="39"/>
      <c r="C45" s="586" t="s">
        <v>1</v>
      </c>
      <c r="D45" s="586" t="s">
        <v>235</v>
      </c>
      <c r="E45" s="587" t="s">
        <v>236</v>
      </c>
      <c r="F45" s="587" t="s">
        <v>1</v>
      </c>
      <c r="G45" s="588" t="s">
        <v>237</v>
      </c>
      <c r="H45" s="588" t="s">
        <v>238</v>
      </c>
      <c r="I45" s="587" t="s">
        <v>239</v>
      </c>
      <c r="J45" s="587" t="s">
        <v>240</v>
      </c>
      <c r="K45" s="39"/>
      <c r="L45" s="39"/>
      <c r="M45" s="39"/>
      <c r="N45" s="39"/>
      <c r="O45" s="39"/>
      <c r="P45" s="39"/>
      <c r="Q45" s="39"/>
      <c r="R45" s="39"/>
      <c r="S45" s="39"/>
      <c r="T45" s="39"/>
      <c r="U45" s="39"/>
      <c r="V45" s="39"/>
      <c r="W45" s="39"/>
      <c r="X45" s="39"/>
    </row>
    <row r="46" spans="1:24" x14ac:dyDescent="0.2">
      <c r="A46" s="39"/>
      <c r="B46" s="39"/>
      <c r="C46" s="589" t="s">
        <v>76</v>
      </c>
      <c r="D46" s="586"/>
      <c r="E46" s="586">
        <v>29.991</v>
      </c>
      <c r="F46" s="586">
        <v>2.0942599999999998</v>
      </c>
      <c r="G46" s="586">
        <v>-4.0455900000000003E-2</v>
      </c>
      <c r="H46" s="586">
        <v>3.4070500000000001E-4</v>
      </c>
      <c r="I46" s="586">
        <v>1.4617126</v>
      </c>
      <c r="J46" s="586">
        <v>4.9249999999999998</v>
      </c>
      <c r="K46" s="39"/>
      <c r="L46" s="39"/>
      <c r="M46" s="39"/>
      <c r="N46" s="39"/>
      <c r="O46" s="39"/>
      <c r="P46" s="39"/>
      <c r="Q46" s="39"/>
      <c r="R46" s="39"/>
      <c r="S46" s="39"/>
      <c r="T46" s="39"/>
      <c r="U46" s="39"/>
      <c r="V46" s="39"/>
      <c r="W46" s="39"/>
      <c r="X46" s="39"/>
    </row>
    <row r="47" spans="1:24" x14ac:dyDescent="0.2">
      <c r="A47" s="39"/>
      <c r="B47" s="39"/>
      <c r="C47" s="39"/>
      <c r="D47" s="39"/>
      <c r="E47" s="39"/>
      <c r="F47" s="39"/>
      <c r="G47" s="39"/>
      <c r="H47" s="39"/>
      <c r="I47" s="39"/>
      <c r="J47" s="39"/>
      <c r="K47" s="39"/>
      <c r="L47" s="39"/>
      <c r="M47" s="39"/>
      <c r="N47" s="39"/>
      <c r="O47" s="39"/>
      <c r="P47" s="39"/>
      <c r="Q47" s="39"/>
      <c r="R47" s="39"/>
      <c r="S47" s="39"/>
      <c r="T47" s="39"/>
      <c r="U47" s="39"/>
      <c r="V47" s="39"/>
      <c r="W47" s="39"/>
      <c r="X47" s="39"/>
    </row>
    <row r="48" spans="1:24" x14ac:dyDescent="0.2">
      <c r="A48" s="39"/>
      <c r="B48" s="39"/>
      <c r="C48" s="39"/>
      <c r="D48" s="39"/>
      <c r="E48" s="39"/>
      <c r="F48" s="39"/>
      <c r="G48" s="39"/>
      <c r="H48" s="39"/>
      <c r="I48" s="39"/>
      <c r="J48" s="39"/>
      <c r="K48" s="39"/>
      <c r="L48" s="39"/>
      <c r="M48" s="39"/>
      <c r="N48" s="39"/>
      <c r="O48" s="39"/>
      <c r="P48" s="39"/>
      <c r="Q48" s="39"/>
      <c r="R48" s="39"/>
      <c r="S48" s="39"/>
      <c r="T48" s="39"/>
      <c r="U48" s="39"/>
      <c r="V48" s="39"/>
      <c r="W48" s="39"/>
      <c r="X48" s="39"/>
    </row>
    <row r="49" spans="1:24" x14ac:dyDescent="0.2">
      <c r="A49" s="39"/>
      <c r="B49" s="39"/>
      <c r="C49" s="39"/>
      <c r="D49" s="39"/>
      <c r="E49" s="39"/>
      <c r="F49" s="39"/>
      <c r="G49" s="39"/>
      <c r="H49" s="39"/>
      <c r="I49" s="39"/>
      <c r="J49" s="39"/>
      <c r="K49" s="39"/>
      <c r="L49" s="39"/>
      <c r="M49" s="39"/>
      <c r="N49" s="39"/>
      <c r="O49" s="39"/>
      <c r="P49" s="39"/>
      <c r="Q49" s="39"/>
      <c r="R49" s="39"/>
      <c r="S49" s="39"/>
      <c r="T49" s="39"/>
      <c r="U49" s="39"/>
      <c r="V49" s="39"/>
      <c r="W49" s="39"/>
      <c r="X49" s="39"/>
    </row>
    <row r="50" spans="1:24" x14ac:dyDescent="0.2">
      <c r="A50" s="39"/>
      <c r="B50" s="39"/>
      <c r="C50" s="39"/>
      <c r="D50" s="39"/>
      <c r="E50" s="39"/>
      <c r="F50" s="39"/>
      <c r="G50" s="39"/>
      <c r="H50" s="39"/>
      <c r="I50" s="39"/>
      <c r="J50" s="39"/>
      <c r="K50" s="39"/>
      <c r="L50" s="39"/>
      <c r="M50" s="39"/>
      <c r="N50" s="39"/>
      <c r="O50" s="39"/>
      <c r="P50" s="39"/>
      <c r="Q50" s="39"/>
      <c r="R50" s="39"/>
      <c r="S50" s="39"/>
      <c r="T50" s="39"/>
      <c r="U50" s="39"/>
      <c r="V50" s="39"/>
      <c r="W50" s="39"/>
      <c r="X50" s="39"/>
    </row>
    <row r="51" spans="1:24" x14ac:dyDescent="0.2">
      <c r="A51" s="39"/>
      <c r="B51" s="39"/>
      <c r="C51" s="39"/>
      <c r="D51" s="39"/>
      <c r="E51" s="39"/>
      <c r="F51" s="39"/>
      <c r="G51" s="39"/>
      <c r="H51" s="39"/>
      <c r="I51" s="39"/>
      <c r="J51" s="39"/>
      <c r="K51" s="39"/>
      <c r="L51" s="39"/>
      <c r="M51" s="39"/>
      <c r="N51" s="39"/>
      <c r="O51" s="39"/>
      <c r="P51" s="39"/>
      <c r="Q51" s="39"/>
      <c r="R51" s="39"/>
      <c r="S51" s="39"/>
      <c r="T51" s="39"/>
      <c r="U51" s="39"/>
      <c r="V51" s="39"/>
      <c r="W51" s="39"/>
      <c r="X51" s="39"/>
    </row>
    <row r="52" spans="1:24" x14ac:dyDescent="0.2">
      <c r="A52" s="39"/>
      <c r="B52" s="39"/>
      <c r="C52" s="39"/>
      <c r="D52" s="39"/>
      <c r="E52" s="39"/>
      <c r="F52" s="39"/>
      <c r="G52" s="39"/>
      <c r="H52" s="39"/>
      <c r="I52" s="39"/>
      <c r="J52" s="39"/>
      <c r="K52" s="39"/>
      <c r="L52" s="39"/>
      <c r="M52" s="39"/>
      <c r="N52" s="39"/>
      <c r="O52" s="39"/>
      <c r="P52" s="39"/>
      <c r="Q52" s="39"/>
      <c r="R52" s="39"/>
      <c r="S52" s="39"/>
      <c r="T52" s="39"/>
      <c r="U52" s="39"/>
      <c r="V52" s="39"/>
      <c r="W52" s="39"/>
      <c r="X52" s="39"/>
    </row>
    <row r="53" spans="1:24" x14ac:dyDescent="0.2">
      <c r="A53" s="39"/>
      <c r="B53" s="39"/>
      <c r="C53" s="39"/>
      <c r="D53" s="39"/>
      <c r="E53" s="39"/>
      <c r="F53" s="39"/>
      <c r="G53" s="39"/>
      <c r="H53" s="39"/>
      <c r="I53" s="39"/>
      <c r="J53" s="39"/>
      <c r="K53" s="39"/>
      <c r="L53" s="39"/>
      <c r="M53" s="39"/>
      <c r="N53" s="39"/>
      <c r="O53" s="39"/>
      <c r="P53" s="39"/>
      <c r="Q53" s="39"/>
      <c r="R53" s="39"/>
      <c r="S53" s="39"/>
      <c r="T53" s="39"/>
      <c r="U53" s="39"/>
      <c r="V53" s="39"/>
      <c r="W53" s="39"/>
      <c r="X53" s="39"/>
    </row>
    <row r="54" spans="1:24" x14ac:dyDescent="0.2">
      <c r="A54" s="39"/>
      <c r="B54" s="39"/>
      <c r="C54" s="39"/>
      <c r="D54" s="39"/>
      <c r="E54" s="39"/>
      <c r="F54" s="39"/>
      <c r="G54" s="39"/>
      <c r="H54" s="39"/>
      <c r="I54" s="39"/>
      <c r="J54" s="39"/>
      <c r="K54" s="39"/>
      <c r="L54" s="39"/>
      <c r="M54" s="39"/>
      <c r="N54" s="39"/>
      <c r="O54" s="39"/>
      <c r="P54" s="39"/>
      <c r="Q54" s="39"/>
      <c r="R54" s="39"/>
      <c r="S54" s="39"/>
      <c r="T54" s="39"/>
      <c r="U54" s="39"/>
      <c r="V54" s="39"/>
      <c r="W54" s="39"/>
      <c r="X54" s="39"/>
    </row>
    <row r="55" spans="1:24" x14ac:dyDescent="0.2">
      <c r="A55" s="39"/>
      <c r="B55" s="39"/>
      <c r="C55" s="39"/>
      <c r="D55" s="39"/>
      <c r="E55" s="39"/>
      <c r="F55" s="39"/>
      <c r="G55" s="39"/>
      <c r="H55" s="39"/>
      <c r="I55" s="39"/>
      <c r="J55" s="39"/>
      <c r="K55" s="39"/>
      <c r="L55" s="39"/>
      <c r="M55" s="39"/>
      <c r="N55" s="39"/>
      <c r="O55" s="39"/>
      <c r="P55" s="39"/>
      <c r="Q55" s="39"/>
      <c r="R55" s="39"/>
      <c r="S55" s="39"/>
      <c r="T55" s="39"/>
      <c r="U55" s="39"/>
      <c r="V55" s="39"/>
      <c r="W55" s="39"/>
      <c r="X55" s="39"/>
    </row>
  </sheetData>
  <mergeCells count="2">
    <mergeCell ref="E24:G24"/>
    <mergeCell ref="K9:M10"/>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DDF7FA0C-A48D-4685-BF2D-1B4FB24BFD33}">
          <x14:formula1>
            <xm:f>'Do Not Edit'!$M$25:$M$29</xm:f>
          </x14:formula1>
          <xm:sqref>E24</xm:sqref>
        </x14:dataValidation>
        <x14:dataValidation type="list" allowBlank="1" showInputMessage="1" showErrorMessage="1" xr:uid="{8C5C7E4D-70A2-4C1E-B1C2-7B32246D0211}">
          <x14:formula1>
            <xm:f>'Do Not Edit'!$Q$109:$Q$110</xm:f>
          </x14:formula1>
          <xm:sqref>T5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F41C1-2D9E-46EF-A467-8EE89717EB5D}">
  <sheetPr>
    <tabColor theme="5" tint="0.39997558519241921"/>
  </sheetPr>
  <dimension ref="A1:W38"/>
  <sheetViews>
    <sheetView zoomScale="85" zoomScaleNormal="85" workbookViewId="0">
      <selection activeCell="D46" sqref="D46"/>
    </sheetView>
  </sheetViews>
  <sheetFormatPr baseColWidth="10" defaultColWidth="8.83203125" defaultRowHeight="15" x14ac:dyDescent="0.2"/>
  <cols>
    <col min="1" max="1" width="35" customWidth="1"/>
    <col min="2" max="10" width="7.1640625" style="13" customWidth="1"/>
    <col min="11" max="11" width="19.83203125" customWidth="1"/>
    <col min="12" max="12" width="19.1640625" customWidth="1"/>
    <col min="13" max="13" width="18.1640625" customWidth="1"/>
    <col min="14" max="14" width="12.1640625" customWidth="1"/>
    <col min="15" max="15" width="12.83203125" customWidth="1"/>
    <col min="16" max="16" width="16.33203125" customWidth="1"/>
    <col min="17" max="17" width="23.1640625" customWidth="1"/>
    <col min="18" max="18" width="15.5" customWidth="1"/>
    <col min="21" max="21" width="9" customWidth="1"/>
  </cols>
  <sheetData>
    <row r="1" spans="1:23" x14ac:dyDescent="0.2">
      <c r="A1" s="76" t="s">
        <v>0</v>
      </c>
      <c r="B1" s="99">
        <f>TOPF!F11</f>
        <v>67</v>
      </c>
      <c r="C1" s="593" t="s">
        <v>599</v>
      </c>
      <c r="D1" s="593"/>
      <c r="E1" s="593"/>
      <c r="F1" s="412"/>
      <c r="G1" s="99"/>
      <c r="H1" s="99"/>
      <c r="I1" s="99"/>
      <c r="J1" s="248" t="s">
        <v>612</v>
      </c>
      <c r="K1" s="76"/>
      <c r="L1" s="39"/>
      <c r="M1" s="39"/>
      <c r="N1" s="39"/>
      <c r="O1" s="39"/>
      <c r="P1" s="39"/>
      <c r="Q1" s="39"/>
    </row>
    <row r="2" spans="1:23" x14ac:dyDescent="0.2">
      <c r="A2" s="76" t="s">
        <v>243</v>
      </c>
      <c r="B2" s="99">
        <f>'RBANS Predicted Re-test Scores'!R1</f>
        <v>0</v>
      </c>
      <c r="C2" s="593" t="s">
        <v>600</v>
      </c>
      <c r="D2" s="593"/>
      <c r="E2" s="593"/>
      <c r="F2" s="99"/>
      <c r="G2" s="99"/>
      <c r="H2" s="99"/>
      <c r="I2" s="99"/>
      <c r="J2" s="99"/>
      <c r="K2" s="76"/>
      <c r="L2" s="39"/>
      <c r="M2" s="39"/>
      <c r="N2" s="39"/>
      <c r="O2" s="39"/>
      <c r="P2" s="39"/>
      <c r="Q2" s="39"/>
    </row>
    <row r="3" spans="1:23" x14ac:dyDescent="0.2">
      <c r="A3" s="76" t="s">
        <v>598</v>
      </c>
      <c r="B3" s="99">
        <f>IF(J3&lt;12,1,IF(J3=12,2,IF(AND(J3&gt;12,J3&lt;15),3,IF(J3&gt;=15,4))))</f>
        <v>1</v>
      </c>
      <c r="C3" s="593" t="s">
        <v>601</v>
      </c>
      <c r="D3" s="593"/>
      <c r="E3" s="593"/>
      <c r="F3" s="99"/>
      <c r="G3" s="99"/>
      <c r="H3" s="256" t="s">
        <v>632</v>
      </c>
      <c r="I3" s="256"/>
      <c r="J3" s="256">
        <f>TOPF!F9</f>
        <v>10</v>
      </c>
      <c r="K3" s="76"/>
      <c r="L3" s="39"/>
      <c r="M3" s="39"/>
      <c r="N3" s="39"/>
      <c r="O3" s="39"/>
      <c r="P3" s="39"/>
      <c r="Q3" s="39"/>
    </row>
    <row r="4" spans="1:23" x14ac:dyDescent="0.2">
      <c r="A4" s="76" t="s">
        <v>597</v>
      </c>
      <c r="B4" s="99">
        <f>IF('RBANS Predicted Re-test Scores'!F4="Caucasian",0,1)</f>
        <v>0</v>
      </c>
      <c r="C4" s="593" t="s">
        <v>602</v>
      </c>
      <c r="D4" s="593"/>
      <c r="E4" s="593"/>
      <c r="F4" s="99"/>
      <c r="G4" s="99"/>
      <c r="H4" s="99"/>
      <c r="I4" s="99"/>
      <c r="J4" s="99"/>
      <c r="K4" s="76"/>
      <c r="L4" s="39"/>
      <c r="M4" s="39"/>
      <c r="N4" s="39"/>
      <c r="O4" s="39"/>
      <c r="P4" s="39"/>
      <c r="Q4" s="39"/>
    </row>
    <row r="5" spans="1:23" x14ac:dyDescent="0.2">
      <c r="A5" s="76"/>
      <c r="B5" s="99"/>
      <c r="C5" s="99"/>
      <c r="D5" s="99"/>
      <c r="E5" s="99"/>
      <c r="F5" s="99"/>
      <c r="G5" s="99"/>
      <c r="H5" s="99"/>
      <c r="I5" s="99"/>
      <c r="J5" s="99"/>
      <c r="K5" s="76"/>
      <c r="L5" s="39"/>
      <c r="M5" s="39"/>
      <c r="N5" s="39"/>
      <c r="O5" s="39"/>
      <c r="P5" s="39"/>
      <c r="Q5" s="39"/>
    </row>
    <row r="6" spans="1:23" ht="30" x14ac:dyDescent="0.2">
      <c r="A6" s="259" t="s">
        <v>8</v>
      </c>
      <c r="B6" s="260" t="s">
        <v>611</v>
      </c>
      <c r="C6" s="260" t="s">
        <v>603</v>
      </c>
      <c r="D6" s="260" t="s">
        <v>604</v>
      </c>
      <c r="E6" s="260" t="s">
        <v>605</v>
      </c>
      <c r="F6" s="260" t="s">
        <v>606</v>
      </c>
      <c r="G6" s="260" t="s">
        <v>607</v>
      </c>
      <c r="H6" s="260" t="s">
        <v>608</v>
      </c>
      <c r="I6" s="260" t="s">
        <v>609</v>
      </c>
      <c r="J6" s="260" t="s">
        <v>610</v>
      </c>
      <c r="K6" s="260" t="s">
        <v>613</v>
      </c>
      <c r="L6" s="260" t="s">
        <v>614</v>
      </c>
      <c r="M6" s="260" t="s">
        <v>615</v>
      </c>
      <c r="N6" s="260" t="s">
        <v>616</v>
      </c>
      <c r="O6" s="260" t="s">
        <v>562</v>
      </c>
      <c r="P6" s="260" t="s">
        <v>617</v>
      </c>
      <c r="Q6" s="39"/>
      <c r="S6" s="594" t="s">
        <v>618</v>
      </c>
      <c r="T6" s="594" t="s">
        <v>619</v>
      </c>
      <c r="U6" s="594" t="s">
        <v>620</v>
      </c>
      <c r="V6" s="594" t="s">
        <v>621</v>
      </c>
      <c r="W6" s="594" t="s">
        <v>550</v>
      </c>
    </row>
    <row r="7" spans="1:23" x14ac:dyDescent="0.2">
      <c r="A7" s="263" t="s">
        <v>11</v>
      </c>
      <c r="B7" s="96">
        <v>40.840000000000003</v>
      </c>
      <c r="C7" s="96">
        <v>0.25</v>
      </c>
      <c r="D7" s="96">
        <v>1.7</v>
      </c>
      <c r="E7" s="96">
        <v>0.76</v>
      </c>
      <c r="F7" s="96">
        <v>1.44</v>
      </c>
      <c r="G7" s="96">
        <f>$B$1*C7</f>
        <v>16.75</v>
      </c>
      <c r="H7" s="96">
        <f>$B$2*D7</f>
        <v>0</v>
      </c>
      <c r="I7" s="96">
        <f>$B$3*E7</f>
        <v>0.76</v>
      </c>
      <c r="J7" s="96">
        <f>$B$4*F7</f>
        <v>0</v>
      </c>
      <c r="K7" s="18">
        <f>B7-G7-H7+I7-J7</f>
        <v>24.850000000000005</v>
      </c>
      <c r="L7" s="18">
        <f>'Standard Tests'!B10</f>
        <v>30</v>
      </c>
      <c r="M7" s="96">
        <f t="shared" ref="M7:M18" si="0">L7-K7</f>
        <v>5.149999999999995</v>
      </c>
      <c r="N7" s="96">
        <v>5.56</v>
      </c>
      <c r="O7" s="67">
        <f t="shared" ref="O7:O18" si="1">M7/N7</f>
        <v>0.92625899280575452</v>
      </c>
      <c r="P7" s="96" t="str">
        <f t="shared" ref="P7:P18" si="2">IF(AND(O7&gt;-1.645, O7&lt;1.645),"Normal", "Significant")</f>
        <v>Normal</v>
      </c>
      <c r="Q7" s="263" t="s">
        <v>11</v>
      </c>
      <c r="S7" s="595">
        <f>1.645*$N7</f>
        <v>9.1462000000000003</v>
      </c>
      <c r="T7" s="595">
        <f>-1.645*$N7</f>
        <v>-9.1462000000000003</v>
      </c>
      <c r="U7" s="595">
        <f t="shared" ref="U7:U18" si="3">S7+K7</f>
        <v>33.996200000000002</v>
      </c>
      <c r="V7" s="595">
        <f>K7+T7</f>
        <v>15.703800000000005</v>
      </c>
      <c r="W7" s="595">
        <f>S7</f>
        <v>9.1462000000000003</v>
      </c>
    </row>
    <row r="8" spans="1:23" x14ac:dyDescent="0.2">
      <c r="A8" s="263" t="s">
        <v>12</v>
      </c>
      <c r="B8" s="96">
        <v>25.38</v>
      </c>
      <c r="C8" s="96">
        <v>0.16</v>
      </c>
      <c r="D8" s="96">
        <v>0.38</v>
      </c>
      <c r="E8" s="96">
        <v>0.73</v>
      </c>
      <c r="F8" s="96">
        <v>1.83</v>
      </c>
      <c r="G8" s="96">
        <f t="shared" ref="G8:G25" si="4">$B$1*C8</f>
        <v>10.72</v>
      </c>
      <c r="H8" s="96">
        <f t="shared" ref="H8:H18" si="5">$B$2*D8</f>
        <v>0</v>
      </c>
      <c r="I8" s="96">
        <f>$B$3*E8</f>
        <v>0.73</v>
      </c>
      <c r="J8" s="96">
        <f>$B$4*F8</f>
        <v>0</v>
      </c>
      <c r="K8" s="18">
        <f t="shared" ref="K8:K17" si="6">B8-G8-H8+I8-J8</f>
        <v>15.389999999999999</v>
      </c>
      <c r="L8" s="18">
        <f>'Standard Tests'!B11</f>
        <v>17</v>
      </c>
      <c r="M8" s="96">
        <f t="shared" si="0"/>
        <v>1.6100000000000012</v>
      </c>
      <c r="N8" s="96">
        <v>4.24</v>
      </c>
      <c r="O8" s="67">
        <f t="shared" si="1"/>
        <v>0.37971698113207575</v>
      </c>
      <c r="P8" s="96" t="str">
        <f t="shared" si="2"/>
        <v>Normal</v>
      </c>
      <c r="Q8" s="263" t="s">
        <v>12</v>
      </c>
      <c r="S8" s="595">
        <f t="shared" ref="S8:S18" si="7">1.645*$N8</f>
        <v>6.9748000000000001</v>
      </c>
      <c r="T8" s="595">
        <f t="shared" ref="T8:T18" si="8">-1.645*$N8</f>
        <v>-6.9748000000000001</v>
      </c>
      <c r="U8" s="595">
        <f t="shared" si="3"/>
        <v>22.364799999999999</v>
      </c>
      <c r="V8" s="595">
        <f t="shared" ref="V8:V25" si="9">K8+T8</f>
        <v>8.4151999999999987</v>
      </c>
      <c r="W8" s="595">
        <f t="shared" ref="W8:W25" si="10">S8</f>
        <v>6.9748000000000001</v>
      </c>
    </row>
    <row r="9" spans="1:23" x14ac:dyDescent="0.2">
      <c r="A9" s="263" t="s">
        <v>13</v>
      </c>
      <c r="B9" s="96">
        <v>22.76</v>
      </c>
      <c r="C9" s="96">
        <v>7.0000000000000007E-2</v>
      </c>
      <c r="D9" s="96">
        <v>0.08</v>
      </c>
      <c r="E9" s="96">
        <v>0.21</v>
      </c>
      <c r="F9" s="96">
        <v>0.7</v>
      </c>
      <c r="G9" s="96">
        <f t="shared" si="4"/>
        <v>4.6900000000000004</v>
      </c>
      <c r="H9" s="96">
        <f t="shared" si="5"/>
        <v>0</v>
      </c>
      <c r="I9" s="96">
        <f t="shared" ref="I9:I18" si="11">$B$3*E9</f>
        <v>0.21</v>
      </c>
      <c r="J9" s="96">
        <f t="shared" ref="J9:J18" si="12">$B$4*F9</f>
        <v>0</v>
      </c>
      <c r="K9" s="18">
        <f>B9-G9+H9+I9-J9</f>
        <v>18.28</v>
      </c>
      <c r="L9" s="18">
        <f>'Standard Tests'!B12</f>
        <v>0</v>
      </c>
      <c r="M9" s="96">
        <f t="shared" si="0"/>
        <v>-18.28</v>
      </c>
      <c r="N9" s="96">
        <v>2.02</v>
      </c>
      <c r="O9" s="67">
        <f t="shared" si="1"/>
        <v>-9.0495049504950504</v>
      </c>
      <c r="P9" s="96" t="str">
        <f t="shared" si="2"/>
        <v>Significant</v>
      </c>
      <c r="Q9" s="263" t="s">
        <v>13</v>
      </c>
      <c r="S9" s="595">
        <f t="shared" si="7"/>
        <v>3.3229000000000002</v>
      </c>
      <c r="T9" s="595">
        <f t="shared" si="8"/>
        <v>-3.3229000000000002</v>
      </c>
      <c r="U9" s="595">
        <f t="shared" si="3"/>
        <v>21.602900000000002</v>
      </c>
      <c r="V9" s="595">
        <f t="shared" si="9"/>
        <v>14.957100000000001</v>
      </c>
      <c r="W9" s="595">
        <f t="shared" si="10"/>
        <v>3.3229000000000002</v>
      </c>
    </row>
    <row r="10" spans="1:23" x14ac:dyDescent="0.2">
      <c r="A10" s="263" t="s">
        <v>14</v>
      </c>
      <c r="B10" s="96">
        <v>16.399999999999999</v>
      </c>
      <c r="C10" s="96">
        <v>0.04</v>
      </c>
      <c r="D10" s="96">
        <v>1.5</v>
      </c>
      <c r="E10" s="96">
        <v>0.48</v>
      </c>
      <c r="F10" s="96">
        <v>1.6</v>
      </c>
      <c r="G10" s="96">
        <f t="shared" si="4"/>
        <v>2.68</v>
      </c>
      <c r="H10" s="96">
        <f t="shared" si="5"/>
        <v>0</v>
      </c>
      <c r="I10" s="96">
        <f t="shared" si="11"/>
        <v>0.48</v>
      </c>
      <c r="J10" s="96">
        <f t="shared" si="12"/>
        <v>0</v>
      </c>
      <c r="K10" s="18">
        <f>B10-G10+H10+I10-J10</f>
        <v>14.2</v>
      </c>
      <c r="L10" s="18">
        <f>'Standard Tests'!B13</f>
        <v>0</v>
      </c>
      <c r="M10" s="96">
        <f t="shared" si="0"/>
        <v>-14.2</v>
      </c>
      <c r="N10" s="96">
        <v>3.36</v>
      </c>
      <c r="O10" s="67">
        <f t="shared" si="1"/>
        <v>-4.2261904761904763</v>
      </c>
      <c r="P10" s="96" t="str">
        <f t="shared" si="2"/>
        <v>Significant</v>
      </c>
      <c r="Q10" s="263" t="s">
        <v>14</v>
      </c>
      <c r="S10" s="595">
        <f t="shared" si="7"/>
        <v>5.5271999999999997</v>
      </c>
      <c r="T10" s="595">
        <f t="shared" si="8"/>
        <v>-5.5271999999999997</v>
      </c>
      <c r="U10" s="595">
        <f t="shared" si="3"/>
        <v>19.7272</v>
      </c>
      <c r="V10" s="595">
        <f t="shared" si="9"/>
        <v>8.6727999999999987</v>
      </c>
      <c r="W10" s="595">
        <f t="shared" si="10"/>
        <v>5.5271999999999997</v>
      </c>
    </row>
    <row r="11" spans="1:23" x14ac:dyDescent="0.2">
      <c r="A11" s="263" t="s">
        <v>16</v>
      </c>
      <c r="B11" s="96">
        <v>10.37</v>
      </c>
      <c r="C11" s="96">
        <v>0.02</v>
      </c>
      <c r="D11" s="96">
        <v>0.19</v>
      </c>
      <c r="E11" s="96">
        <v>0.12</v>
      </c>
      <c r="F11" s="96">
        <v>0.44</v>
      </c>
      <c r="G11" s="96">
        <f t="shared" si="4"/>
        <v>1.34</v>
      </c>
      <c r="H11" s="96">
        <f t="shared" si="5"/>
        <v>0</v>
      </c>
      <c r="I11" s="96">
        <f t="shared" si="11"/>
        <v>0.12</v>
      </c>
      <c r="J11" s="96">
        <f t="shared" si="12"/>
        <v>0</v>
      </c>
      <c r="K11" s="18">
        <f>B11-G11+H11+I11-J11</f>
        <v>9.1499999999999986</v>
      </c>
      <c r="L11" s="18">
        <f>'Standard Tests'!B14</f>
        <v>0</v>
      </c>
      <c r="M11" s="96">
        <f t="shared" si="0"/>
        <v>-9.1499999999999986</v>
      </c>
      <c r="N11" s="96">
        <v>0.76</v>
      </c>
      <c r="O11" s="67">
        <f t="shared" si="1"/>
        <v>-12.039473684210524</v>
      </c>
      <c r="P11" s="96" t="str">
        <f t="shared" si="2"/>
        <v>Significant</v>
      </c>
      <c r="Q11" s="263" t="s">
        <v>16</v>
      </c>
      <c r="S11" s="595">
        <f t="shared" si="7"/>
        <v>1.2502</v>
      </c>
      <c r="T11" s="595">
        <f t="shared" si="8"/>
        <v>-1.2502</v>
      </c>
      <c r="U11" s="595">
        <f t="shared" si="3"/>
        <v>10.400199999999998</v>
      </c>
      <c r="V11" s="595">
        <f t="shared" si="9"/>
        <v>7.899799999999999</v>
      </c>
      <c r="W11" s="595">
        <f t="shared" si="10"/>
        <v>1.2502</v>
      </c>
    </row>
    <row r="12" spans="1:23" x14ac:dyDescent="0.2">
      <c r="A12" s="263" t="s">
        <v>17</v>
      </c>
      <c r="B12" s="96">
        <v>30.59</v>
      </c>
      <c r="C12" s="96">
        <v>0.18</v>
      </c>
      <c r="D12" s="96">
        <v>1.99</v>
      </c>
      <c r="E12" s="96">
        <v>0.34</v>
      </c>
      <c r="F12" s="96">
        <v>1.79</v>
      </c>
      <c r="G12" s="96">
        <f t="shared" si="4"/>
        <v>12.059999999999999</v>
      </c>
      <c r="H12" s="96">
        <f t="shared" si="5"/>
        <v>0</v>
      </c>
      <c r="I12" s="96">
        <f t="shared" si="11"/>
        <v>0.34</v>
      </c>
      <c r="J12" s="96">
        <f t="shared" si="12"/>
        <v>0</v>
      </c>
      <c r="K12" s="18">
        <f t="shared" si="6"/>
        <v>18.87</v>
      </c>
      <c r="L12" s="18">
        <f>'Standard Tests'!B15</f>
        <v>16</v>
      </c>
      <c r="M12" s="96">
        <f t="shared" si="0"/>
        <v>-2.870000000000001</v>
      </c>
      <c r="N12" s="96">
        <v>4.57</v>
      </c>
      <c r="O12" s="67">
        <f t="shared" si="1"/>
        <v>-0.62800875273522994</v>
      </c>
      <c r="P12" s="96" t="str">
        <f t="shared" si="2"/>
        <v>Normal</v>
      </c>
      <c r="Q12" s="263" t="s">
        <v>17</v>
      </c>
      <c r="S12" s="595">
        <f t="shared" si="7"/>
        <v>7.5176500000000006</v>
      </c>
      <c r="T12" s="595">
        <f t="shared" si="8"/>
        <v>-7.5176500000000006</v>
      </c>
      <c r="U12" s="595">
        <f t="shared" si="3"/>
        <v>26.387650000000001</v>
      </c>
      <c r="V12" s="595">
        <f t="shared" si="9"/>
        <v>11.352350000000001</v>
      </c>
      <c r="W12" s="595">
        <f t="shared" si="10"/>
        <v>7.5176500000000006</v>
      </c>
    </row>
    <row r="13" spans="1:23" x14ac:dyDescent="0.2">
      <c r="A13" s="263" t="s">
        <v>18</v>
      </c>
      <c r="B13" s="96">
        <v>12.43</v>
      </c>
      <c r="C13" s="96">
        <v>0.03</v>
      </c>
      <c r="D13" s="96">
        <v>0.42</v>
      </c>
      <c r="E13" s="96">
        <v>0.27</v>
      </c>
      <c r="F13" s="96">
        <v>0.77</v>
      </c>
      <c r="G13" s="96">
        <f t="shared" si="4"/>
        <v>2.0099999999999998</v>
      </c>
      <c r="H13" s="96">
        <f t="shared" si="5"/>
        <v>0</v>
      </c>
      <c r="I13" s="96">
        <f t="shared" si="11"/>
        <v>0.27</v>
      </c>
      <c r="J13" s="96">
        <f t="shared" si="12"/>
        <v>0</v>
      </c>
      <c r="K13" s="18">
        <f>B13-G13+H13+I13-J13</f>
        <v>10.69</v>
      </c>
      <c r="L13" s="18">
        <f>'Standard Tests'!B16</f>
        <v>4</v>
      </c>
      <c r="M13" s="96">
        <f t="shared" si="0"/>
        <v>-6.6899999999999995</v>
      </c>
      <c r="N13" s="96">
        <v>2.72</v>
      </c>
      <c r="O13" s="67">
        <f t="shared" si="1"/>
        <v>-2.4595588235294112</v>
      </c>
      <c r="P13" s="96" t="str">
        <f t="shared" si="2"/>
        <v>Significant</v>
      </c>
      <c r="Q13" s="263" t="s">
        <v>18</v>
      </c>
      <c r="S13" s="595">
        <f t="shared" si="7"/>
        <v>4.4744000000000002</v>
      </c>
      <c r="T13" s="595">
        <f t="shared" si="8"/>
        <v>-4.4744000000000002</v>
      </c>
      <c r="U13" s="595">
        <f t="shared" si="3"/>
        <v>15.164400000000001</v>
      </c>
      <c r="V13" s="595">
        <f t="shared" si="9"/>
        <v>6.2155999999999993</v>
      </c>
      <c r="W13" s="595">
        <f t="shared" si="10"/>
        <v>4.4744000000000002</v>
      </c>
    </row>
    <row r="14" spans="1:23" x14ac:dyDescent="0.2">
      <c r="A14" s="263" t="s">
        <v>19</v>
      </c>
      <c r="B14" s="96">
        <v>91.63</v>
      </c>
      <c r="C14" s="96">
        <v>0.82</v>
      </c>
      <c r="D14" s="96">
        <v>3.38</v>
      </c>
      <c r="E14" s="96">
        <v>1.57</v>
      </c>
      <c r="F14" s="96">
        <v>4.8</v>
      </c>
      <c r="G14" s="96">
        <f t="shared" si="4"/>
        <v>54.94</v>
      </c>
      <c r="H14" s="96">
        <f t="shared" si="5"/>
        <v>0</v>
      </c>
      <c r="I14" s="96">
        <f t="shared" si="11"/>
        <v>1.57</v>
      </c>
      <c r="J14" s="96">
        <f t="shared" si="12"/>
        <v>0</v>
      </c>
      <c r="K14" s="18">
        <f t="shared" si="6"/>
        <v>38.26</v>
      </c>
      <c r="L14" s="18">
        <f>'Standard Tests'!B17</f>
        <v>38</v>
      </c>
      <c r="M14" s="96">
        <f t="shared" si="0"/>
        <v>-0.25999999999999801</v>
      </c>
      <c r="N14" s="96">
        <v>9.14</v>
      </c>
      <c r="O14" s="67">
        <f t="shared" si="1"/>
        <v>-2.8446389496717506E-2</v>
      </c>
      <c r="P14" s="96" t="str">
        <f t="shared" si="2"/>
        <v>Normal</v>
      </c>
      <c r="Q14" s="263" t="s">
        <v>19</v>
      </c>
      <c r="S14" s="595">
        <f t="shared" si="7"/>
        <v>15.035300000000001</v>
      </c>
      <c r="T14" s="595">
        <f t="shared" si="8"/>
        <v>-15.035300000000001</v>
      </c>
      <c r="U14" s="595">
        <f t="shared" si="3"/>
        <v>53.295299999999997</v>
      </c>
      <c r="V14" s="595">
        <f t="shared" si="9"/>
        <v>23.224699999999999</v>
      </c>
      <c r="W14" s="595">
        <f t="shared" si="10"/>
        <v>15.035300000000001</v>
      </c>
    </row>
    <row r="15" spans="1:23" x14ac:dyDescent="0.2">
      <c r="A15" s="263" t="s">
        <v>20</v>
      </c>
      <c r="B15" s="96">
        <v>12.47</v>
      </c>
      <c r="C15" s="96">
        <v>0.11</v>
      </c>
      <c r="D15" s="96">
        <v>1.25</v>
      </c>
      <c r="E15" s="96">
        <v>0.26</v>
      </c>
      <c r="F15" s="96">
        <v>1.39</v>
      </c>
      <c r="G15" s="96">
        <f t="shared" si="4"/>
        <v>7.37</v>
      </c>
      <c r="H15" s="96">
        <f t="shared" si="5"/>
        <v>0</v>
      </c>
      <c r="I15" s="96">
        <f t="shared" si="11"/>
        <v>0.26</v>
      </c>
      <c r="J15" s="96">
        <f t="shared" si="12"/>
        <v>0</v>
      </c>
      <c r="K15" s="18">
        <f t="shared" si="6"/>
        <v>5.36</v>
      </c>
      <c r="L15" s="18">
        <f>'Standard Tests'!B18</f>
        <v>5</v>
      </c>
      <c r="M15" s="96">
        <f t="shared" si="0"/>
        <v>-0.36000000000000032</v>
      </c>
      <c r="N15" s="96">
        <v>2.44</v>
      </c>
      <c r="O15" s="67">
        <f t="shared" si="1"/>
        <v>-0.14754098360655751</v>
      </c>
      <c r="P15" s="96" t="str">
        <f t="shared" si="2"/>
        <v>Normal</v>
      </c>
      <c r="Q15" s="263" t="s">
        <v>20</v>
      </c>
      <c r="S15" s="595">
        <f t="shared" si="7"/>
        <v>4.0137999999999998</v>
      </c>
      <c r="T15" s="595">
        <f t="shared" si="8"/>
        <v>-4.0137999999999998</v>
      </c>
      <c r="U15" s="595">
        <f t="shared" si="3"/>
        <v>9.3737999999999992</v>
      </c>
      <c r="V15" s="595">
        <f t="shared" si="9"/>
        <v>1.3462000000000005</v>
      </c>
      <c r="W15" s="595">
        <f t="shared" si="10"/>
        <v>4.0137999999999998</v>
      </c>
    </row>
    <row r="16" spans="1:23" x14ac:dyDescent="0.2">
      <c r="A16" s="263" t="s">
        <v>21</v>
      </c>
      <c r="B16" s="96">
        <v>22.53</v>
      </c>
      <c r="C16" s="96">
        <v>0.05</v>
      </c>
      <c r="D16" s="96">
        <v>0.64</v>
      </c>
      <c r="E16" s="96">
        <v>0.15</v>
      </c>
      <c r="F16" s="96">
        <v>0.66</v>
      </c>
      <c r="G16" s="96">
        <f t="shared" si="4"/>
        <v>3.35</v>
      </c>
      <c r="H16" s="96">
        <f t="shared" si="5"/>
        <v>0</v>
      </c>
      <c r="I16" s="96">
        <f t="shared" si="11"/>
        <v>0.15</v>
      </c>
      <c r="J16" s="96">
        <f t="shared" si="12"/>
        <v>0</v>
      </c>
      <c r="K16" s="18">
        <f t="shared" si="6"/>
        <v>19.329999999999998</v>
      </c>
      <c r="L16" s="18">
        <f>'Standard Tests'!B19</f>
        <v>15</v>
      </c>
      <c r="M16" s="96">
        <f t="shared" si="0"/>
        <v>-4.3299999999999983</v>
      </c>
      <c r="N16" s="96">
        <v>1.55</v>
      </c>
      <c r="O16" s="67">
        <f t="shared" si="1"/>
        <v>-2.7935483870967732</v>
      </c>
      <c r="P16" s="96" t="str">
        <f t="shared" si="2"/>
        <v>Significant</v>
      </c>
      <c r="Q16" s="263" t="s">
        <v>21</v>
      </c>
      <c r="S16" s="595">
        <f t="shared" si="7"/>
        <v>2.54975</v>
      </c>
      <c r="T16" s="595">
        <f t="shared" si="8"/>
        <v>-2.54975</v>
      </c>
      <c r="U16" s="595">
        <f t="shared" si="3"/>
        <v>21.879749999999998</v>
      </c>
      <c r="V16" s="595">
        <f t="shared" si="9"/>
        <v>16.780249999999999</v>
      </c>
      <c r="W16" s="595">
        <f t="shared" si="10"/>
        <v>2.54975</v>
      </c>
    </row>
    <row r="17" spans="1:23" x14ac:dyDescent="0.2">
      <c r="A17" s="263" t="s">
        <v>22</v>
      </c>
      <c r="B17" s="96">
        <v>16.62</v>
      </c>
      <c r="C17" s="96">
        <v>0.14000000000000001</v>
      </c>
      <c r="D17" s="96">
        <v>0.68</v>
      </c>
      <c r="E17" s="96">
        <v>0.41</v>
      </c>
      <c r="F17" s="96">
        <v>1.07</v>
      </c>
      <c r="G17" s="96">
        <f t="shared" si="4"/>
        <v>9.3800000000000008</v>
      </c>
      <c r="H17" s="96">
        <f t="shared" si="5"/>
        <v>0</v>
      </c>
      <c r="I17" s="96">
        <f t="shared" si="11"/>
        <v>0.41</v>
      </c>
      <c r="J17" s="96">
        <f t="shared" si="12"/>
        <v>0</v>
      </c>
      <c r="K17" s="18">
        <f t="shared" si="6"/>
        <v>7.65</v>
      </c>
      <c r="L17" s="18">
        <f>'Standard Tests'!B20</f>
        <v>8</v>
      </c>
      <c r="M17" s="96">
        <f t="shared" si="0"/>
        <v>0.34999999999999964</v>
      </c>
      <c r="N17" s="96">
        <v>2.77</v>
      </c>
      <c r="O17" s="67">
        <f t="shared" si="1"/>
        <v>0.12635379061371829</v>
      </c>
      <c r="P17" s="96" t="str">
        <f t="shared" si="2"/>
        <v>Normal</v>
      </c>
      <c r="Q17" s="263" t="s">
        <v>22</v>
      </c>
      <c r="S17" s="595">
        <f t="shared" si="7"/>
        <v>4.5566500000000003</v>
      </c>
      <c r="T17" s="595">
        <f t="shared" si="8"/>
        <v>-4.5566500000000003</v>
      </c>
      <c r="U17" s="595">
        <f t="shared" si="3"/>
        <v>12.20665</v>
      </c>
      <c r="V17" s="595">
        <f t="shared" si="9"/>
        <v>3.09335</v>
      </c>
      <c r="W17" s="595">
        <f t="shared" si="10"/>
        <v>4.5566500000000003</v>
      </c>
    </row>
    <row r="18" spans="1:23" ht="16" thickBot="1" x14ac:dyDescent="0.25">
      <c r="A18" s="263" t="s">
        <v>23</v>
      </c>
      <c r="B18" s="96">
        <v>23.98</v>
      </c>
      <c r="C18" s="96">
        <v>0.17</v>
      </c>
      <c r="D18" s="96">
        <v>0.47</v>
      </c>
      <c r="E18" s="96">
        <v>0.28999999999999998</v>
      </c>
      <c r="F18" s="96">
        <v>2.2999999999999998</v>
      </c>
      <c r="G18" s="96">
        <f t="shared" si="4"/>
        <v>11.39</v>
      </c>
      <c r="H18" s="96">
        <f t="shared" si="5"/>
        <v>0</v>
      </c>
      <c r="I18" s="96">
        <f t="shared" si="11"/>
        <v>0.28999999999999998</v>
      </c>
      <c r="J18" s="96">
        <f t="shared" si="12"/>
        <v>0</v>
      </c>
      <c r="K18" s="18">
        <f>B18-G18+H18+I18-J18</f>
        <v>12.879999999999999</v>
      </c>
      <c r="L18" s="18">
        <f>'Standard Tests'!B21</f>
        <v>10</v>
      </c>
      <c r="M18" s="96">
        <f t="shared" si="0"/>
        <v>-2.879999999999999</v>
      </c>
      <c r="N18" s="96">
        <v>4.07</v>
      </c>
      <c r="O18" s="196">
        <f t="shared" si="1"/>
        <v>-0.70761670761670736</v>
      </c>
      <c r="P18" s="96" t="str">
        <f t="shared" si="2"/>
        <v>Normal</v>
      </c>
      <c r="Q18" s="263" t="s">
        <v>23</v>
      </c>
      <c r="S18" s="595">
        <f t="shared" si="7"/>
        <v>6.6951500000000008</v>
      </c>
      <c r="T18" s="595">
        <f t="shared" si="8"/>
        <v>-6.6951500000000008</v>
      </c>
      <c r="U18" s="595">
        <f t="shared" si="3"/>
        <v>19.575150000000001</v>
      </c>
      <c r="V18" s="595">
        <f t="shared" si="9"/>
        <v>6.1848499999999982</v>
      </c>
      <c r="W18" s="595">
        <f t="shared" si="10"/>
        <v>6.6951500000000008</v>
      </c>
    </row>
    <row r="19" spans="1:23" x14ac:dyDescent="0.2">
      <c r="A19" s="263"/>
      <c r="B19" s="96"/>
      <c r="C19" s="96"/>
      <c r="D19" s="96"/>
      <c r="E19" s="96"/>
      <c r="F19" s="96"/>
      <c r="G19" s="96"/>
      <c r="H19" s="96"/>
      <c r="I19" s="96"/>
      <c r="J19" s="96"/>
      <c r="K19" s="18"/>
      <c r="L19" s="18"/>
      <c r="M19" s="96"/>
      <c r="N19" s="96"/>
      <c r="O19" s="39"/>
      <c r="P19" s="39"/>
      <c r="Q19" s="263"/>
      <c r="S19" s="595"/>
      <c r="T19" s="595"/>
      <c r="U19" s="595"/>
      <c r="V19" s="595"/>
      <c r="W19" s="595">
        <f t="shared" si="10"/>
        <v>0</v>
      </c>
    </row>
    <row r="20" spans="1:23" x14ac:dyDescent="0.2">
      <c r="A20" s="272" t="s">
        <v>24</v>
      </c>
      <c r="B20" s="96">
        <v>95.54</v>
      </c>
      <c r="C20" s="96">
        <v>0.13</v>
      </c>
      <c r="D20" s="96">
        <v>4.3600000000000003</v>
      </c>
      <c r="E20" s="96">
        <v>2.93</v>
      </c>
      <c r="F20" s="96">
        <v>6.65</v>
      </c>
      <c r="G20" s="96">
        <f t="shared" si="4"/>
        <v>8.7100000000000009</v>
      </c>
      <c r="H20" s="96">
        <f t="shared" ref="H20:H25" si="13">$B$2*D20</f>
        <v>0</v>
      </c>
      <c r="I20" s="96">
        <f t="shared" ref="I20:I25" si="14">$B$3*E20</f>
        <v>2.93</v>
      </c>
      <c r="J20" s="96">
        <f t="shared" ref="J20:J25" si="15">$B$4*F20</f>
        <v>0</v>
      </c>
      <c r="K20" s="18">
        <f t="shared" ref="K20:K25" si="16">B20-G20-H20+I20-J20</f>
        <v>89.760000000000019</v>
      </c>
      <c r="L20" s="18">
        <f>'Standard Tests'!B23</f>
        <v>109</v>
      </c>
      <c r="M20" s="96">
        <f t="shared" ref="M20:M25" si="17">L20-K20</f>
        <v>19.239999999999981</v>
      </c>
      <c r="N20" s="96">
        <v>17.239999999999998</v>
      </c>
      <c r="O20" s="67">
        <f t="shared" ref="O20:O25" si="18">M20/N20</f>
        <v>1.1160092807424584</v>
      </c>
      <c r="P20" s="96" t="str">
        <f t="shared" ref="P20:P25" si="19">IF(AND(O20&gt;-1.645, O20&lt;1.645),"Normal", "Significant")</f>
        <v>Normal</v>
      </c>
      <c r="Q20" s="272" t="s">
        <v>24</v>
      </c>
      <c r="S20" s="595">
        <f t="shared" ref="S20:S25" si="20">1.645*$N20</f>
        <v>28.359799999999996</v>
      </c>
      <c r="T20" s="595">
        <f t="shared" ref="T20:T25" si="21">-1.645*$N20</f>
        <v>-28.359799999999996</v>
      </c>
      <c r="U20" s="595">
        <f t="shared" ref="U20:U25" si="22">S20+K20</f>
        <v>118.11980000000001</v>
      </c>
      <c r="V20" s="595">
        <f t="shared" si="9"/>
        <v>61.400200000000027</v>
      </c>
      <c r="W20" s="595">
        <f t="shared" si="10"/>
        <v>28.359799999999996</v>
      </c>
    </row>
    <row r="21" spans="1:23" x14ac:dyDescent="0.2">
      <c r="A21" s="272" t="s">
        <v>177</v>
      </c>
      <c r="B21" s="96">
        <v>103.34</v>
      </c>
      <c r="C21" s="96">
        <v>0.18</v>
      </c>
      <c r="D21" s="96">
        <v>5.2</v>
      </c>
      <c r="E21" s="96">
        <v>2.94</v>
      </c>
      <c r="F21" s="96">
        <v>8.7899999999999991</v>
      </c>
      <c r="G21" s="96">
        <f t="shared" si="4"/>
        <v>12.059999999999999</v>
      </c>
      <c r="H21" s="96">
        <f t="shared" si="13"/>
        <v>0</v>
      </c>
      <c r="I21" s="96">
        <f t="shared" si="14"/>
        <v>2.94</v>
      </c>
      <c r="J21" s="96">
        <f t="shared" si="15"/>
        <v>0</v>
      </c>
      <c r="K21" s="18">
        <f>B21-G21+H21+I21-J21</f>
        <v>94.22</v>
      </c>
      <c r="L21" s="18">
        <f>'Standard Tests'!B24</f>
        <v>50</v>
      </c>
      <c r="M21" s="96">
        <f t="shared" si="17"/>
        <v>-44.22</v>
      </c>
      <c r="N21" s="96">
        <v>16.2</v>
      </c>
      <c r="O21" s="67">
        <f t="shared" si="18"/>
        <v>-2.7296296296296299</v>
      </c>
      <c r="P21" s="96" t="str">
        <f t="shared" si="19"/>
        <v>Significant</v>
      </c>
      <c r="Q21" s="272" t="s">
        <v>177</v>
      </c>
      <c r="S21" s="595">
        <f t="shared" si="20"/>
        <v>26.648999999999997</v>
      </c>
      <c r="T21" s="595">
        <f t="shared" si="21"/>
        <v>-26.648999999999997</v>
      </c>
      <c r="U21" s="595">
        <f t="shared" si="22"/>
        <v>120.869</v>
      </c>
      <c r="V21" s="595">
        <f t="shared" si="9"/>
        <v>67.570999999999998</v>
      </c>
      <c r="W21" s="595">
        <f t="shared" si="10"/>
        <v>26.648999999999997</v>
      </c>
    </row>
    <row r="22" spans="1:23" x14ac:dyDescent="0.2">
      <c r="A22" s="272" t="s">
        <v>26</v>
      </c>
      <c r="B22" s="96">
        <v>92.77</v>
      </c>
      <c r="C22" s="96">
        <v>0.01</v>
      </c>
      <c r="D22" s="96">
        <v>3.25</v>
      </c>
      <c r="E22" s="96">
        <v>1.23</v>
      </c>
      <c r="F22" s="96">
        <v>5.74</v>
      </c>
      <c r="G22" s="96">
        <f t="shared" si="4"/>
        <v>0.67</v>
      </c>
      <c r="H22" s="96">
        <f t="shared" si="13"/>
        <v>0</v>
      </c>
      <c r="I22" s="96">
        <f t="shared" si="14"/>
        <v>1.23</v>
      </c>
      <c r="J22" s="96">
        <f t="shared" si="15"/>
        <v>0</v>
      </c>
      <c r="K22" s="18">
        <f t="shared" si="16"/>
        <v>93.33</v>
      </c>
      <c r="L22" s="18">
        <f>'Standard Tests'!B25</f>
        <v>60</v>
      </c>
      <c r="M22" s="96">
        <f t="shared" si="17"/>
        <v>-33.33</v>
      </c>
      <c r="N22" s="96">
        <v>10.94</v>
      </c>
      <c r="O22" s="67">
        <f t="shared" si="18"/>
        <v>-3.0466179159049358</v>
      </c>
      <c r="P22" s="96" t="str">
        <f t="shared" si="19"/>
        <v>Significant</v>
      </c>
      <c r="Q22" s="272" t="s">
        <v>26</v>
      </c>
      <c r="S22" s="595">
        <f t="shared" si="20"/>
        <v>17.996299999999998</v>
      </c>
      <c r="T22" s="595">
        <f t="shared" si="21"/>
        <v>-17.996299999999998</v>
      </c>
      <c r="U22" s="595">
        <f t="shared" si="22"/>
        <v>111.3263</v>
      </c>
      <c r="V22" s="595">
        <f t="shared" si="9"/>
        <v>75.333699999999993</v>
      </c>
      <c r="W22" s="595">
        <f t="shared" si="10"/>
        <v>17.996299999999998</v>
      </c>
    </row>
    <row r="23" spans="1:23" x14ac:dyDescent="0.2">
      <c r="A23" s="272" t="s">
        <v>27</v>
      </c>
      <c r="B23" s="96">
        <v>106.92</v>
      </c>
      <c r="C23" s="96">
        <v>0.21</v>
      </c>
      <c r="D23" s="96">
        <v>2.0699999999999998</v>
      </c>
      <c r="E23" s="96">
        <v>2.5499999999999998</v>
      </c>
      <c r="F23" s="96">
        <v>7.35</v>
      </c>
      <c r="G23" s="96">
        <f t="shared" si="4"/>
        <v>14.07</v>
      </c>
      <c r="H23" s="96">
        <f t="shared" si="13"/>
        <v>0</v>
      </c>
      <c r="I23" s="96">
        <f t="shared" si="14"/>
        <v>2.5499999999999998</v>
      </c>
      <c r="J23" s="96">
        <f t="shared" si="15"/>
        <v>0</v>
      </c>
      <c r="K23" s="18">
        <f t="shared" si="16"/>
        <v>95.399999999999991</v>
      </c>
      <c r="L23" s="18">
        <f>'Standard Tests'!B26</f>
        <v>64</v>
      </c>
      <c r="M23" s="96">
        <f t="shared" si="17"/>
        <v>-31.399999999999991</v>
      </c>
      <c r="N23" s="96">
        <v>15.43</v>
      </c>
      <c r="O23" s="67">
        <f t="shared" si="18"/>
        <v>-2.0349967595592995</v>
      </c>
      <c r="P23" s="96" t="str">
        <f t="shared" si="19"/>
        <v>Significant</v>
      </c>
      <c r="Q23" s="272" t="s">
        <v>27</v>
      </c>
      <c r="S23" s="595">
        <f t="shared" si="20"/>
        <v>25.382349999999999</v>
      </c>
      <c r="T23" s="595">
        <f t="shared" si="21"/>
        <v>-25.382349999999999</v>
      </c>
      <c r="U23" s="595">
        <f t="shared" si="22"/>
        <v>120.78234999999999</v>
      </c>
      <c r="V23" s="595">
        <f t="shared" si="9"/>
        <v>70.017649999999989</v>
      </c>
      <c r="W23" s="595">
        <f t="shared" si="10"/>
        <v>25.382349999999999</v>
      </c>
    </row>
    <row r="24" spans="1:23" x14ac:dyDescent="0.2">
      <c r="A24" s="272" t="s">
        <v>28</v>
      </c>
      <c r="B24" s="96">
        <v>125.23</v>
      </c>
      <c r="C24" s="96">
        <v>0.43</v>
      </c>
      <c r="D24" s="96">
        <v>5.2</v>
      </c>
      <c r="E24" s="96">
        <v>2.12</v>
      </c>
      <c r="F24" s="96">
        <v>9.93</v>
      </c>
      <c r="G24" s="96">
        <f t="shared" si="4"/>
        <v>28.81</v>
      </c>
      <c r="H24" s="96">
        <f t="shared" si="13"/>
        <v>0</v>
      </c>
      <c r="I24" s="96">
        <f t="shared" si="14"/>
        <v>2.12</v>
      </c>
      <c r="J24" s="96">
        <f t="shared" si="15"/>
        <v>0</v>
      </c>
      <c r="K24" s="18">
        <f t="shared" si="16"/>
        <v>98.54</v>
      </c>
      <c r="L24" s="18">
        <f>'Standard Tests'!B27</f>
        <v>75</v>
      </c>
      <c r="M24" s="96">
        <f t="shared" si="17"/>
        <v>-23.540000000000006</v>
      </c>
      <c r="N24" s="96">
        <v>16.02</v>
      </c>
      <c r="O24" s="67">
        <f t="shared" si="18"/>
        <v>-1.4694132334581778</v>
      </c>
      <c r="P24" s="96" t="str">
        <f t="shared" si="19"/>
        <v>Normal</v>
      </c>
      <c r="Q24" s="272" t="s">
        <v>28</v>
      </c>
      <c r="S24" s="595">
        <f t="shared" si="20"/>
        <v>26.352899999999998</v>
      </c>
      <c r="T24" s="595">
        <f t="shared" si="21"/>
        <v>-26.352899999999998</v>
      </c>
      <c r="U24" s="595">
        <f t="shared" si="22"/>
        <v>124.8929</v>
      </c>
      <c r="V24" s="595">
        <f t="shared" si="9"/>
        <v>72.187100000000015</v>
      </c>
      <c r="W24" s="595">
        <f t="shared" si="10"/>
        <v>26.352899999999998</v>
      </c>
    </row>
    <row r="25" spans="1:23" ht="16" thickBot="1" x14ac:dyDescent="0.25">
      <c r="A25" s="272" t="s">
        <v>210</v>
      </c>
      <c r="B25" s="96">
        <v>105.01</v>
      </c>
      <c r="C25" s="96">
        <v>0.24</v>
      </c>
      <c r="D25" s="96">
        <v>2.86</v>
      </c>
      <c r="E25" s="96">
        <v>3.24</v>
      </c>
      <c r="F25" s="96">
        <v>10.33</v>
      </c>
      <c r="G25" s="96">
        <f t="shared" si="4"/>
        <v>16.079999999999998</v>
      </c>
      <c r="H25" s="96">
        <f t="shared" si="13"/>
        <v>0</v>
      </c>
      <c r="I25" s="96">
        <f t="shared" si="14"/>
        <v>3.24</v>
      </c>
      <c r="J25" s="96">
        <f t="shared" si="15"/>
        <v>0</v>
      </c>
      <c r="K25" s="18">
        <f t="shared" si="16"/>
        <v>92.17</v>
      </c>
      <c r="L25" s="18">
        <f>'Standard Tests'!B28</f>
        <v>64</v>
      </c>
      <c r="M25" s="96">
        <f t="shared" si="17"/>
        <v>-28.17</v>
      </c>
      <c r="N25" s="96">
        <v>14.6</v>
      </c>
      <c r="O25" s="196">
        <f t="shared" si="18"/>
        <v>-1.9294520547945206</v>
      </c>
      <c r="P25" s="96" t="str">
        <f t="shared" si="19"/>
        <v>Significant</v>
      </c>
      <c r="Q25" s="272" t="s">
        <v>210</v>
      </c>
      <c r="S25" s="595">
        <f t="shared" si="20"/>
        <v>24.016999999999999</v>
      </c>
      <c r="T25" s="595">
        <f t="shared" si="21"/>
        <v>-24.016999999999999</v>
      </c>
      <c r="U25" s="595">
        <f t="shared" si="22"/>
        <v>116.187</v>
      </c>
      <c r="V25" s="595">
        <f t="shared" si="9"/>
        <v>68.153000000000006</v>
      </c>
      <c r="W25" s="595">
        <f t="shared" si="10"/>
        <v>24.016999999999999</v>
      </c>
    </row>
    <row r="26" spans="1:23" x14ac:dyDescent="0.2">
      <c r="A26" s="39"/>
      <c r="B26" s="412"/>
      <c r="C26" s="412"/>
      <c r="D26" s="412"/>
      <c r="E26" s="412"/>
      <c r="F26" s="412"/>
      <c r="G26" s="412"/>
      <c r="H26" s="412"/>
      <c r="I26" s="412"/>
      <c r="J26" s="412"/>
      <c r="K26" s="39"/>
      <c r="L26" s="39"/>
      <c r="M26" s="39"/>
      <c r="N26" s="39"/>
      <c r="O26" s="39"/>
      <c r="P26" s="39"/>
      <c r="Q26" s="39"/>
    </row>
    <row r="27" spans="1:23" x14ac:dyDescent="0.2">
      <c r="A27" s="39"/>
      <c r="B27" s="412"/>
      <c r="C27" s="412"/>
      <c r="D27" s="412"/>
      <c r="E27" s="412"/>
      <c r="F27" s="412"/>
      <c r="G27" s="412"/>
      <c r="H27" s="412"/>
      <c r="I27" s="412"/>
      <c r="J27" s="412"/>
      <c r="K27" s="39"/>
      <c r="L27" s="39"/>
      <c r="M27" s="39"/>
      <c r="N27" s="39"/>
      <c r="O27" s="39"/>
      <c r="P27" s="39"/>
      <c r="Q27" s="39"/>
    </row>
    <row r="28" spans="1:23" x14ac:dyDescent="0.2">
      <c r="A28" s="39"/>
      <c r="B28" s="412"/>
      <c r="C28" s="412"/>
      <c r="D28" s="412"/>
      <c r="E28" s="412"/>
      <c r="F28" s="412"/>
      <c r="G28" s="412"/>
      <c r="H28" s="412"/>
      <c r="I28" s="412"/>
      <c r="J28" s="412"/>
      <c r="K28" s="39"/>
      <c r="L28" s="39"/>
      <c r="M28" s="39"/>
      <c r="N28" s="39"/>
      <c r="O28" s="39"/>
      <c r="P28" s="39"/>
      <c r="Q28" s="39"/>
    </row>
    <row r="29" spans="1:23" x14ac:dyDescent="0.2">
      <c r="A29" s="39" t="s">
        <v>592</v>
      </c>
      <c r="B29" s="412"/>
      <c r="C29" s="412"/>
      <c r="D29" s="412"/>
      <c r="E29" s="412"/>
      <c r="F29" s="412"/>
      <c r="G29" s="412"/>
      <c r="H29" s="412"/>
      <c r="I29" s="412"/>
      <c r="J29" s="412"/>
      <c r="K29" s="39"/>
      <c r="L29" s="39"/>
      <c r="M29" s="39"/>
      <c r="N29" s="39"/>
      <c r="O29" s="39"/>
      <c r="P29" s="39"/>
      <c r="Q29" s="39"/>
    </row>
    <row r="30" spans="1:23" x14ac:dyDescent="0.2">
      <c r="A30" s="39"/>
      <c r="B30" s="412"/>
      <c r="C30" s="412"/>
      <c r="D30" s="412"/>
      <c r="E30" s="412"/>
      <c r="F30" s="412"/>
      <c r="G30" s="412"/>
      <c r="H30" s="412"/>
      <c r="I30" s="412"/>
      <c r="J30" s="412"/>
      <c r="K30" s="39"/>
      <c r="L30" s="39"/>
      <c r="M30" s="39"/>
      <c r="N30" s="39"/>
      <c r="O30" s="39"/>
      <c r="P30" s="39"/>
      <c r="Q30" s="39"/>
    </row>
    <row r="31" spans="1:23" x14ac:dyDescent="0.2">
      <c r="A31" s="39"/>
      <c r="B31" s="412"/>
      <c r="C31" s="412"/>
      <c r="D31" s="412"/>
      <c r="E31" s="412"/>
      <c r="F31" s="412"/>
      <c r="G31" s="412"/>
      <c r="H31" s="412"/>
      <c r="I31" s="412"/>
      <c r="J31" s="412"/>
      <c r="K31" s="39"/>
      <c r="L31" s="39"/>
      <c r="M31" s="39"/>
      <c r="N31" s="39"/>
      <c r="O31" s="39"/>
      <c r="P31" s="39"/>
      <c r="Q31" s="39"/>
    </row>
    <row r="32" spans="1:23" x14ac:dyDescent="0.2">
      <c r="A32" s="39"/>
      <c r="B32" s="412"/>
      <c r="C32" s="412"/>
      <c r="D32" s="412"/>
      <c r="E32" s="412"/>
      <c r="F32" s="412"/>
      <c r="G32" s="412"/>
      <c r="H32" s="412"/>
      <c r="I32" s="412"/>
      <c r="J32" s="412"/>
      <c r="K32" s="39"/>
      <c r="L32" s="39"/>
      <c r="M32" s="39"/>
      <c r="N32" s="39"/>
      <c r="O32" s="39"/>
      <c r="P32" s="39"/>
      <c r="Q32" s="39"/>
    </row>
    <row r="33" spans="1:17" x14ac:dyDescent="0.2">
      <c r="A33" s="39"/>
      <c r="B33" s="412"/>
      <c r="C33" s="412"/>
      <c r="D33" s="412"/>
      <c r="E33" s="412"/>
      <c r="F33" s="412"/>
      <c r="G33" s="412"/>
      <c r="H33" s="412"/>
      <c r="I33" s="412"/>
      <c r="J33" s="412"/>
      <c r="K33" s="39"/>
      <c r="L33" s="39"/>
      <c r="M33" s="39"/>
      <c r="N33" s="39"/>
      <c r="O33" s="39"/>
      <c r="P33" s="39"/>
      <c r="Q33" s="39"/>
    </row>
    <row r="34" spans="1:17" x14ac:dyDescent="0.2">
      <c r="A34" s="39"/>
      <c r="B34" s="412"/>
      <c r="C34" s="412"/>
      <c r="D34" s="412"/>
      <c r="E34" s="412"/>
      <c r="F34" s="412"/>
      <c r="G34" s="412"/>
      <c r="H34" s="412"/>
      <c r="I34" s="412"/>
      <c r="J34" s="412"/>
      <c r="K34" s="39"/>
      <c r="L34" s="39"/>
      <c r="M34" s="39"/>
      <c r="N34" s="39"/>
      <c r="O34" s="39"/>
      <c r="P34" s="39"/>
      <c r="Q34" s="39"/>
    </row>
    <row r="35" spans="1:17" x14ac:dyDescent="0.2">
      <c r="A35" s="39"/>
      <c r="B35" s="412"/>
      <c r="C35" s="412"/>
      <c r="D35" s="412"/>
      <c r="E35" s="412"/>
      <c r="F35" s="412"/>
      <c r="G35" s="412"/>
      <c r="H35" s="412"/>
      <c r="I35" s="412"/>
      <c r="J35" s="412"/>
      <c r="K35" s="39"/>
      <c r="L35" s="39"/>
      <c r="M35" s="39"/>
      <c r="N35" s="39"/>
      <c r="O35" s="39"/>
      <c r="P35" s="39"/>
      <c r="Q35" s="39"/>
    </row>
    <row r="36" spans="1:17" x14ac:dyDescent="0.2">
      <c r="A36" s="39"/>
      <c r="B36" s="412"/>
      <c r="C36" s="412"/>
      <c r="D36" s="412"/>
      <c r="E36" s="412"/>
      <c r="F36" s="412"/>
      <c r="G36" s="412"/>
      <c r="H36" s="412"/>
      <c r="I36" s="412"/>
      <c r="J36" s="412"/>
      <c r="K36" s="39"/>
      <c r="L36" s="39"/>
      <c r="M36" s="39"/>
      <c r="N36" s="39"/>
      <c r="O36" s="39"/>
      <c r="P36" s="39"/>
      <c r="Q36" s="39"/>
    </row>
    <row r="37" spans="1:17" x14ac:dyDescent="0.2">
      <c r="A37" s="39"/>
      <c r="B37" s="412"/>
      <c r="C37" s="412"/>
      <c r="D37" s="412"/>
      <c r="E37" s="412"/>
      <c r="F37" s="412"/>
      <c r="G37" s="412"/>
      <c r="H37" s="412"/>
      <c r="I37" s="412"/>
      <c r="J37" s="412"/>
      <c r="K37" s="39"/>
      <c r="L37" s="39"/>
      <c r="M37" s="39"/>
      <c r="N37" s="39"/>
      <c r="O37" s="39"/>
      <c r="P37" s="39"/>
      <c r="Q37" s="39"/>
    </row>
    <row r="38" spans="1:17" x14ac:dyDescent="0.2">
      <c r="A38" s="39"/>
      <c r="B38" s="412"/>
      <c r="C38" s="412"/>
      <c r="D38" s="412"/>
      <c r="E38" s="412"/>
      <c r="F38" s="412"/>
      <c r="G38" s="412"/>
      <c r="H38" s="412"/>
      <c r="I38" s="412"/>
      <c r="J38" s="412"/>
      <c r="K38" s="39"/>
      <c r="L38" s="39"/>
      <c r="M38" s="39"/>
      <c r="N38" s="39"/>
      <c r="O38" s="39"/>
      <c r="P38" s="39"/>
      <c r="Q38" s="39"/>
    </row>
  </sheetData>
  <conditionalFormatting sqref="P7:P18">
    <cfRule type="cellIs" dxfId="165" priority="4" operator="equal">
      <formula>"Normal"</formula>
    </cfRule>
    <cfRule type="cellIs" dxfId="164" priority="5" operator="equal">
      <formula>"Significant"</formula>
    </cfRule>
    <cfRule type="iconSet" priority="6">
      <iconSet iconSet="3Symbols2">
        <cfvo type="percent" val="0"/>
        <cfvo type="percent" val="33"/>
        <cfvo type="percent" val="67"/>
      </iconSet>
    </cfRule>
  </conditionalFormatting>
  <conditionalFormatting sqref="P20:P25">
    <cfRule type="cellIs" dxfId="163" priority="1" operator="equal">
      <formula>"Normal"</formula>
    </cfRule>
    <cfRule type="cellIs" dxfId="162" priority="2" operator="equal">
      <formula>"Significant"</formula>
    </cfRule>
    <cfRule type="iconSet" priority="3">
      <iconSet iconSet="3Symbols2">
        <cfvo type="percent" val="0"/>
        <cfvo type="percent" val="33"/>
        <cfvo type="percent" val="67"/>
      </iconSet>
    </cfRule>
  </conditionalFormatting>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5C60E-B6A2-427F-9B02-DF9CA039CE06}">
  <sheetPr>
    <tabColor theme="5" tint="0.39997558519241921"/>
  </sheetPr>
  <dimension ref="A1:AA86"/>
  <sheetViews>
    <sheetView workbookViewId="0">
      <selection activeCell="D2" sqref="D2"/>
    </sheetView>
  </sheetViews>
  <sheetFormatPr baseColWidth="10" defaultColWidth="8.83203125" defaultRowHeight="15" x14ac:dyDescent="0.2"/>
  <cols>
    <col min="3" max="3" width="19.83203125" customWidth="1"/>
  </cols>
  <sheetData>
    <row r="1" spans="1:27" x14ac:dyDescent="0.2">
      <c r="A1" s="40"/>
      <c r="B1" s="40"/>
      <c r="C1" s="40"/>
      <c r="D1" s="40"/>
      <c r="E1" s="40"/>
      <c r="F1" s="40"/>
      <c r="G1" s="40"/>
      <c r="H1" s="40"/>
      <c r="I1" s="40"/>
      <c r="J1" s="40"/>
      <c r="K1" s="40"/>
      <c r="L1" s="40"/>
      <c r="M1" s="40"/>
      <c r="N1" s="40"/>
      <c r="O1" s="40"/>
      <c r="P1" s="40"/>
      <c r="Q1" s="40"/>
      <c r="R1" s="40"/>
      <c r="S1" s="40"/>
      <c r="T1" s="40"/>
      <c r="U1" s="40"/>
      <c r="V1" s="40"/>
      <c r="W1" s="40"/>
      <c r="X1" s="40"/>
      <c r="Y1" s="40"/>
      <c r="Z1" s="40"/>
      <c r="AA1" s="40"/>
    </row>
    <row r="2" spans="1:27" x14ac:dyDescent="0.2">
      <c r="A2" s="40" t="s">
        <v>659</v>
      </c>
      <c r="B2" s="40"/>
      <c r="C2" s="40"/>
      <c r="D2" s="40">
        <f>'Standard Tests'!B19</f>
        <v>15</v>
      </c>
      <c r="E2" s="40"/>
      <c r="F2" s="40"/>
      <c r="G2" s="40"/>
      <c r="H2" s="40"/>
      <c r="I2" s="40"/>
      <c r="J2" s="40"/>
      <c r="K2" s="40"/>
      <c r="L2" s="40"/>
      <c r="M2" s="40"/>
      <c r="N2" s="40"/>
      <c r="O2" s="40"/>
      <c r="P2" s="40"/>
      <c r="Q2" s="40"/>
      <c r="R2" s="40"/>
      <c r="S2" s="40"/>
      <c r="T2" s="40"/>
      <c r="U2" s="40"/>
      <c r="V2" s="40"/>
      <c r="W2" s="40"/>
      <c r="X2" s="40"/>
      <c r="Y2" s="40"/>
      <c r="Z2" s="40"/>
      <c r="AA2" s="40"/>
    </row>
    <row r="3" spans="1:27" x14ac:dyDescent="0.2">
      <c r="A3" s="40" t="s">
        <v>662</v>
      </c>
      <c r="B3" s="40"/>
      <c r="C3" s="40"/>
      <c r="D3" s="40">
        <f>VLOOKUP(D2,A13:C33,3)</f>
        <v>1.4785766601562502E-2</v>
      </c>
      <c r="E3" s="40"/>
      <c r="F3" s="40"/>
      <c r="G3" s="40"/>
      <c r="H3" s="40"/>
      <c r="I3" s="40"/>
      <c r="J3" s="40"/>
      <c r="K3" s="40"/>
      <c r="L3" s="40"/>
      <c r="M3" s="40"/>
      <c r="N3" s="40"/>
      <c r="O3" s="40"/>
      <c r="P3" s="40"/>
      <c r="Q3" s="40"/>
      <c r="R3" s="40"/>
      <c r="S3" s="40"/>
      <c r="T3" s="40"/>
      <c r="U3" s="40"/>
      <c r="V3" s="40"/>
      <c r="W3" s="40"/>
      <c r="X3" s="40"/>
      <c r="Y3" s="40"/>
      <c r="Z3" s="40"/>
      <c r="AA3" s="40"/>
    </row>
    <row r="4" spans="1:27" x14ac:dyDescent="0.2">
      <c r="A4" s="40" t="s">
        <v>661</v>
      </c>
      <c r="B4" s="40"/>
      <c r="C4" s="40"/>
      <c r="D4" s="647">
        <f>D3</f>
        <v>1.4785766601562502E-2</v>
      </c>
      <c r="E4" s="40"/>
      <c r="F4" s="40"/>
      <c r="G4" s="40"/>
      <c r="H4" s="40"/>
      <c r="I4" s="40"/>
      <c r="J4" s="40"/>
      <c r="K4" s="40"/>
      <c r="L4" s="40"/>
      <c r="M4" s="40"/>
      <c r="N4" s="40"/>
      <c r="O4" s="40"/>
      <c r="P4" s="40"/>
      <c r="Q4" s="40"/>
      <c r="R4" s="40"/>
      <c r="S4" s="40"/>
      <c r="T4" s="40"/>
      <c r="U4" s="40"/>
      <c r="V4" s="40"/>
      <c r="W4" s="40"/>
      <c r="X4" s="40"/>
      <c r="Y4" s="40"/>
      <c r="Z4" s="40"/>
      <c r="AA4" s="40"/>
    </row>
    <row r="5" spans="1:27" x14ac:dyDescent="0.2">
      <c r="A5" s="507" t="s">
        <v>660</v>
      </c>
      <c r="B5" s="40"/>
      <c r="C5" s="40"/>
      <c r="D5" s="753">
        <f>IF(D3&lt;0.001,"less than 1/1000",D4)</f>
        <v>1.4785766601562502E-2</v>
      </c>
      <c r="E5" s="40"/>
      <c r="F5" s="40"/>
      <c r="G5" s="752">
        <f>D5</f>
        <v>1.4785766601562502E-2</v>
      </c>
      <c r="H5" s="40"/>
      <c r="I5" s="40"/>
      <c r="J5" s="40"/>
      <c r="K5" s="40"/>
      <c r="L5" s="40"/>
      <c r="M5" s="40"/>
      <c r="N5" s="40"/>
      <c r="O5" s="40"/>
      <c r="P5" s="40"/>
      <c r="Q5" s="40"/>
      <c r="R5" s="40"/>
      <c r="S5" s="40"/>
      <c r="T5" s="40"/>
      <c r="U5" s="40"/>
      <c r="V5" s="40"/>
      <c r="W5" s="40"/>
      <c r="X5" s="40"/>
      <c r="Y5" s="40"/>
      <c r="Z5" s="40"/>
      <c r="AA5" s="40"/>
    </row>
    <row r="6" spans="1:27" x14ac:dyDescent="0.2">
      <c r="A6" s="40"/>
      <c r="B6" s="40"/>
      <c r="C6" s="40"/>
      <c r="D6" s="40" t="str">
        <f>IF(D3&lt;=0.05,"statistically unlikely guessing, and therefore indicate memory functioning","statistically likely guessing or random selection of words and therefore memory difficulties")</f>
        <v>statistically unlikely guessing, and therefore indicate memory functioning</v>
      </c>
      <c r="E6" s="40"/>
      <c r="F6" s="40"/>
      <c r="G6" s="40"/>
      <c r="H6" s="40"/>
      <c r="I6" s="40"/>
      <c r="J6" s="40"/>
      <c r="K6" s="40"/>
      <c r="L6" s="40"/>
      <c r="M6" s="40"/>
      <c r="N6" s="40"/>
      <c r="O6" s="40"/>
      <c r="P6" s="40"/>
      <c r="Q6" s="40"/>
      <c r="R6" s="40"/>
      <c r="S6" s="40"/>
      <c r="T6" s="40"/>
      <c r="U6" s="40"/>
      <c r="V6" s="40"/>
      <c r="W6" s="40"/>
      <c r="X6" s="40"/>
      <c r="Y6" s="40"/>
      <c r="Z6" s="40"/>
      <c r="AA6" s="40"/>
    </row>
    <row r="7" spans="1:27" x14ac:dyDescent="0.2">
      <c r="A7" s="40"/>
      <c r="B7" s="40"/>
      <c r="C7" s="40"/>
      <c r="D7" s="40"/>
      <c r="E7" s="40"/>
      <c r="F7" s="40"/>
      <c r="G7" s="40"/>
      <c r="H7" s="40"/>
      <c r="I7" s="40"/>
      <c r="J7" s="40"/>
      <c r="K7" s="40"/>
      <c r="L7" s="40"/>
      <c r="M7" s="40"/>
      <c r="N7" s="40"/>
      <c r="O7" s="40"/>
      <c r="P7" s="40"/>
      <c r="Q7" s="40"/>
      <c r="R7" s="40"/>
      <c r="S7" s="40"/>
      <c r="T7" s="40"/>
      <c r="U7" s="40"/>
      <c r="V7" s="40"/>
      <c r="W7" s="40"/>
      <c r="X7" s="40"/>
      <c r="Y7" s="40"/>
      <c r="Z7" s="40"/>
      <c r="AA7" s="40"/>
    </row>
    <row r="8" spans="1:27" x14ac:dyDescent="0.2">
      <c r="A8" s="40"/>
      <c r="B8" s="40"/>
      <c r="C8" s="40"/>
      <c r="D8" s="40"/>
      <c r="E8" s="40"/>
      <c r="F8" s="40"/>
      <c r="G8" s="40"/>
      <c r="H8" s="40"/>
      <c r="I8" s="40"/>
      <c r="J8" s="40"/>
      <c r="K8" s="40"/>
      <c r="L8" s="40"/>
      <c r="M8" s="40"/>
      <c r="N8" s="40"/>
      <c r="O8" s="40"/>
      <c r="P8" s="40"/>
      <c r="Q8" s="40"/>
      <c r="R8" s="40"/>
      <c r="S8" s="40"/>
      <c r="T8" s="40"/>
      <c r="U8" s="40"/>
      <c r="V8" s="40"/>
      <c r="W8" s="40"/>
      <c r="X8" s="40"/>
      <c r="Y8" s="40"/>
      <c r="Z8" s="40"/>
      <c r="AA8" s="40"/>
    </row>
    <row r="9" spans="1:27" x14ac:dyDescent="0.2">
      <c r="A9" s="40"/>
      <c r="B9" s="40"/>
      <c r="C9" s="40"/>
      <c r="D9" s="40"/>
      <c r="E9" s="40"/>
      <c r="F9" s="40"/>
      <c r="G9" s="40"/>
      <c r="H9" s="40"/>
      <c r="I9" s="40"/>
      <c r="J9" s="40"/>
      <c r="K9" s="40"/>
      <c r="L9" s="40"/>
      <c r="M9" s="40"/>
      <c r="N9" s="40"/>
      <c r="O9" s="40"/>
      <c r="P9" s="40"/>
      <c r="Q9" s="40"/>
      <c r="R9" s="40"/>
      <c r="S9" s="40"/>
      <c r="T9" s="40"/>
      <c r="U9" s="40"/>
      <c r="V9" s="40"/>
      <c r="W9" s="40"/>
      <c r="X9" s="40"/>
      <c r="Y9" s="40"/>
      <c r="Z9" s="40"/>
      <c r="AA9" s="40"/>
    </row>
    <row r="10" spans="1:27" x14ac:dyDescent="0.2">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row>
    <row r="11" spans="1:27" x14ac:dyDescent="0.2">
      <c r="A11" s="507" t="s">
        <v>655</v>
      </c>
      <c r="B11" s="40"/>
      <c r="C11" s="40"/>
      <c r="D11" s="40"/>
      <c r="E11" s="40"/>
      <c r="F11" s="40"/>
      <c r="G11" s="40"/>
      <c r="H11" s="40"/>
      <c r="I11" s="40"/>
      <c r="J11" s="40"/>
      <c r="K11" s="40"/>
      <c r="L11" s="40"/>
      <c r="M11" s="40"/>
      <c r="N11" s="40"/>
      <c r="O11" s="40"/>
      <c r="P11" s="40"/>
      <c r="Q11" s="40"/>
      <c r="R11" s="40"/>
      <c r="S11" s="40"/>
      <c r="T11" s="40"/>
      <c r="U11" s="40"/>
      <c r="V11" s="40"/>
      <c r="W11" s="40"/>
      <c r="X11" s="40"/>
      <c r="Y11" s="40"/>
      <c r="Z11" s="40"/>
      <c r="AA11" s="40"/>
    </row>
    <row r="12" spans="1:27" x14ac:dyDescent="0.2">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c r="AA12" s="40"/>
    </row>
    <row r="13" spans="1:27" x14ac:dyDescent="0.2">
      <c r="A13" s="40">
        <v>0</v>
      </c>
      <c r="B13" s="40">
        <f t="shared" ref="B13:B33" si="0">_xlfn.BINOM.DIST(A13,20,0.5,FALSE)</f>
        <v>9.5367431640625E-7</v>
      </c>
      <c r="C13" s="648">
        <f>B13</f>
        <v>9.5367431640625E-7</v>
      </c>
      <c r="D13" s="40"/>
      <c r="E13" s="40"/>
      <c r="F13" s="40"/>
      <c r="G13" s="40"/>
      <c r="H13" s="40"/>
      <c r="I13" s="40"/>
      <c r="J13" s="40"/>
      <c r="K13" s="40"/>
      <c r="L13" s="40"/>
      <c r="M13" s="40"/>
      <c r="N13" s="40"/>
      <c r="O13" s="40"/>
      <c r="P13" s="40"/>
      <c r="Q13" s="40"/>
      <c r="R13" s="40"/>
      <c r="S13" s="40"/>
      <c r="T13" s="40"/>
      <c r="U13" s="40"/>
      <c r="V13" s="40"/>
      <c r="W13" s="40"/>
      <c r="X13" s="40"/>
      <c r="Y13" s="40"/>
      <c r="Z13" s="40"/>
      <c r="AA13" s="40"/>
    </row>
    <row r="14" spans="1:27" x14ac:dyDescent="0.2">
      <c r="A14" s="40">
        <v>1</v>
      </c>
      <c r="B14" s="40">
        <f t="shared" si="0"/>
        <v>1.9073486328125034E-5</v>
      </c>
      <c r="C14" s="648">
        <f t="shared" ref="C14:C33" si="1">B14</f>
        <v>1.9073486328125034E-5</v>
      </c>
      <c r="D14" s="40"/>
      <c r="E14" s="40"/>
      <c r="F14" s="40"/>
      <c r="G14" s="40"/>
      <c r="H14" s="40"/>
      <c r="I14" s="40"/>
      <c r="J14" s="40"/>
      <c r="K14" s="40"/>
      <c r="L14" s="40"/>
      <c r="M14" s="40"/>
      <c r="N14" s="40"/>
      <c r="O14" s="40"/>
      <c r="P14" s="40"/>
      <c r="Q14" s="40"/>
      <c r="R14" s="40"/>
      <c r="S14" s="40"/>
      <c r="T14" s="40"/>
      <c r="U14" s="40"/>
      <c r="V14" s="40"/>
      <c r="W14" s="40"/>
      <c r="X14" s="40"/>
      <c r="Y14" s="40"/>
      <c r="Z14" s="40"/>
      <c r="AA14" s="40"/>
    </row>
    <row r="15" spans="1:27" x14ac:dyDescent="0.2">
      <c r="A15" s="40">
        <v>2</v>
      </c>
      <c r="B15" s="40">
        <f t="shared" si="0"/>
        <v>1.8119812011718755E-4</v>
      </c>
      <c r="C15" s="648">
        <f t="shared" si="1"/>
        <v>1.8119812011718755E-4</v>
      </c>
      <c r="D15" s="40"/>
      <c r="E15" s="40"/>
      <c r="F15" s="40"/>
      <c r="G15" s="40"/>
      <c r="H15" s="40"/>
      <c r="I15" s="40"/>
      <c r="J15" s="40"/>
      <c r="K15" s="40"/>
      <c r="L15" s="40"/>
      <c r="M15" s="40"/>
      <c r="N15" s="40"/>
      <c r="O15" s="40"/>
      <c r="P15" s="40"/>
      <c r="Q15" s="40"/>
      <c r="R15" s="40"/>
      <c r="S15" s="40"/>
      <c r="T15" s="40"/>
      <c r="U15" s="40"/>
      <c r="V15" s="40"/>
      <c r="W15" s="40"/>
      <c r="X15" s="40"/>
      <c r="Y15" s="40"/>
      <c r="Z15" s="40"/>
      <c r="AA15" s="40"/>
    </row>
    <row r="16" spans="1:27" x14ac:dyDescent="0.2">
      <c r="A16" s="40">
        <v>3</v>
      </c>
      <c r="B16" s="40">
        <f t="shared" si="0"/>
        <v>1.0871887207031263E-3</v>
      </c>
      <c r="C16" s="648">
        <f t="shared" si="1"/>
        <v>1.0871887207031263E-3</v>
      </c>
      <c r="D16" s="40"/>
      <c r="E16" s="40"/>
      <c r="F16" s="40"/>
      <c r="G16" s="40"/>
      <c r="H16" s="40"/>
      <c r="I16" s="40"/>
      <c r="J16" s="40"/>
      <c r="K16" s="40"/>
      <c r="L16" s="40"/>
      <c r="M16" s="40"/>
      <c r="N16" s="40"/>
      <c r="O16" s="40"/>
      <c r="P16" s="40"/>
      <c r="Q16" s="40"/>
      <c r="R16" s="40"/>
      <c r="S16" s="40"/>
      <c r="T16" s="40"/>
      <c r="U16" s="40"/>
      <c r="V16" s="40"/>
      <c r="W16" s="40"/>
      <c r="X16" s="40"/>
      <c r="Y16" s="40"/>
      <c r="Z16" s="40"/>
      <c r="AA16" s="40"/>
    </row>
    <row r="17" spans="1:27" x14ac:dyDescent="0.2">
      <c r="A17" s="40">
        <v>4</v>
      </c>
      <c r="B17" s="40">
        <f t="shared" si="0"/>
        <v>4.6205520629882752E-3</v>
      </c>
      <c r="C17" s="648">
        <f t="shared" si="1"/>
        <v>4.6205520629882752E-3</v>
      </c>
      <c r="D17" s="40"/>
      <c r="E17" s="40"/>
      <c r="F17" s="40"/>
      <c r="G17" s="40"/>
      <c r="H17" s="40"/>
      <c r="I17" s="40"/>
      <c r="J17" s="40"/>
      <c r="K17" s="40"/>
      <c r="L17" s="40"/>
      <c r="M17" s="40"/>
      <c r="N17" s="40"/>
      <c r="O17" s="40"/>
      <c r="P17" s="40"/>
      <c r="Q17" s="40"/>
      <c r="R17" s="40"/>
      <c r="S17" s="40"/>
      <c r="T17" s="40"/>
      <c r="U17" s="40"/>
      <c r="V17" s="40"/>
      <c r="W17" s="40"/>
      <c r="X17" s="40"/>
      <c r="Y17" s="40"/>
      <c r="Z17" s="40"/>
      <c r="AA17" s="40"/>
    </row>
    <row r="18" spans="1:27" x14ac:dyDescent="0.2">
      <c r="A18" s="40">
        <v>5</v>
      </c>
      <c r="B18" s="40">
        <f t="shared" si="0"/>
        <v>1.4785766601562502E-2</v>
      </c>
      <c r="C18" s="648">
        <f t="shared" si="1"/>
        <v>1.4785766601562502E-2</v>
      </c>
      <c r="D18" s="40"/>
      <c r="E18" s="40"/>
      <c r="F18" s="40"/>
      <c r="G18" s="40"/>
      <c r="H18" s="40"/>
      <c r="I18" s="40"/>
      <c r="J18" s="40"/>
      <c r="K18" s="40"/>
      <c r="L18" s="40"/>
      <c r="M18" s="40"/>
      <c r="N18" s="40"/>
      <c r="O18" s="40"/>
      <c r="P18" s="40"/>
      <c r="Q18" s="40"/>
      <c r="R18" s="40"/>
      <c r="S18" s="40"/>
      <c r="T18" s="40"/>
      <c r="U18" s="40"/>
      <c r="V18" s="40"/>
      <c r="W18" s="40"/>
      <c r="X18" s="40"/>
      <c r="Y18" s="40"/>
      <c r="Z18" s="40"/>
      <c r="AA18" s="40"/>
    </row>
    <row r="19" spans="1:27" x14ac:dyDescent="0.2">
      <c r="A19" s="40">
        <v>6</v>
      </c>
      <c r="B19" s="40">
        <f t="shared" si="0"/>
        <v>3.6964416503906257E-2</v>
      </c>
      <c r="C19" s="648">
        <f t="shared" si="1"/>
        <v>3.6964416503906257E-2</v>
      </c>
      <c r="D19" s="40"/>
      <c r="E19" s="40"/>
      <c r="F19" s="40"/>
      <c r="G19" s="40"/>
      <c r="H19" s="40"/>
      <c r="I19" s="40"/>
      <c r="J19" s="40"/>
      <c r="K19" s="40"/>
      <c r="L19" s="40"/>
      <c r="M19" s="40"/>
      <c r="N19" s="40"/>
      <c r="O19" s="40"/>
      <c r="P19" s="40"/>
      <c r="Q19" s="40"/>
      <c r="R19" s="40"/>
      <c r="S19" s="40"/>
      <c r="T19" s="40"/>
      <c r="U19" s="40"/>
      <c r="V19" s="40"/>
      <c r="W19" s="40"/>
      <c r="X19" s="40"/>
      <c r="Y19" s="40"/>
      <c r="Z19" s="40"/>
      <c r="AA19" s="40"/>
    </row>
    <row r="20" spans="1:27" x14ac:dyDescent="0.2">
      <c r="A20" s="40">
        <v>7</v>
      </c>
      <c r="B20" s="40">
        <f t="shared" si="0"/>
        <v>7.3928833007812458E-2</v>
      </c>
      <c r="C20" s="648">
        <f t="shared" si="1"/>
        <v>7.3928833007812458E-2</v>
      </c>
      <c r="D20" s="40"/>
      <c r="E20" s="40"/>
      <c r="F20" s="40"/>
      <c r="G20" s="40"/>
      <c r="H20" s="40"/>
      <c r="I20" s="40"/>
      <c r="J20" s="40"/>
      <c r="K20" s="40"/>
      <c r="L20" s="40"/>
      <c r="M20" s="40"/>
      <c r="N20" s="40"/>
      <c r="O20" s="40"/>
      <c r="P20" s="40"/>
      <c r="Q20" s="40"/>
      <c r="R20" s="40"/>
      <c r="S20" s="40"/>
      <c r="T20" s="40"/>
      <c r="U20" s="40"/>
      <c r="V20" s="40"/>
      <c r="W20" s="40"/>
      <c r="X20" s="40"/>
      <c r="Y20" s="40"/>
      <c r="Z20" s="40"/>
      <c r="AA20" s="40"/>
    </row>
    <row r="21" spans="1:27" x14ac:dyDescent="0.2">
      <c r="A21" s="40">
        <v>8</v>
      </c>
      <c r="B21" s="40">
        <f t="shared" si="0"/>
        <v>0.12013435363769531</v>
      </c>
      <c r="C21" s="648">
        <f t="shared" si="1"/>
        <v>0.12013435363769531</v>
      </c>
      <c r="D21" s="40"/>
      <c r="E21" s="40"/>
      <c r="F21" s="40"/>
      <c r="G21" s="40"/>
      <c r="H21" s="40"/>
      <c r="I21" s="40"/>
      <c r="J21" s="40"/>
      <c r="K21" s="40"/>
      <c r="L21" s="40"/>
      <c r="M21" s="40"/>
      <c r="N21" s="40"/>
      <c r="O21" s="40"/>
      <c r="P21" s="40"/>
      <c r="Q21" s="40"/>
      <c r="R21" s="40"/>
      <c r="S21" s="40"/>
      <c r="T21" s="40"/>
      <c r="U21" s="40"/>
      <c r="V21" s="40"/>
      <c r="W21" s="40"/>
      <c r="X21" s="40"/>
      <c r="Y21" s="40"/>
      <c r="Z21" s="40"/>
      <c r="AA21" s="40"/>
    </row>
    <row r="22" spans="1:27" x14ac:dyDescent="0.2">
      <c r="A22" s="40">
        <v>9</v>
      </c>
      <c r="B22" s="40">
        <f t="shared" si="0"/>
        <v>0.16017913818359369</v>
      </c>
      <c r="C22" s="648">
        <f t="shared" si="1"/>
        <v>0.16017913818359369</v>
      </c>
      <c r="D22" s="40"/>
      <c r="E22" s="40"/>
      <c r="F22" s="40"/>
      <c r="G22" s="40"/>
      <c r="H22" s="40"/>
      <c r="I22" s="40"/>
      <c r="J22" s="40"/>
      <c r="K22" s="40"/>
      <c r="L22" s="40"/>
      <c r="M22" s="40"/>
      <c r="N22" s="40"/>
      <c r="O22" s="40"/>
      <c r="P22" s="40"/>
      <c r="Q22" s="40"/>
      <c r="R22" s="40"/>
      <c r="S22" s="40"/>
      <c r="T22" s="40"/>
      <c r="U22" s="40"/>
      <c r="V22" s="40"/>
      <c r="W22" s="40"/>
      <c r="X22" s="40"/>
      <c r="Y22" s="40"/>
      <c r="Z22" s="40"/>
      <c r="AA22" s="40"/>
    </row>
    <row r="23" spans="1:27" x14ac:dyDescent="0.2">
      <c r="A23" s="40">
        <v>10</v>
      </c>
      <c r="B23" s="40">
        <f t="shared" si="0"/>
        <v>0.17619705200195307</v>
      </c>
      <c r="C23" s="648">
        <f t="shared" si="1"/>
        <v>0.17619705200195307</v>
      </c>
      <c r="D23" s="40"/>
      <c r="E23" s="40"/>
      <c r="F23" s="40"/>
      <c r="G23" s="40"/>
      <c r="H23" s="40"/>
      <c r="I23" s="40"/>
      <c r="J23" s="40"/>
      <c r="K23" s="40"/>
      <c r="L23" s="40"/>
      <c r="M23" s="40"/>
      <c r="N23" s="40"/>
      <c r="O23" s="40"/>
      <c r="P23" s="40"/>
      <c r="Q23" s="40"/>
      <c r="R23" s="40"/>
      <c r="S23" s="40"/>
      <c r="T23" s="40"/>
      <c r="U23" s="40"/>
      <c r="V23" s="40"/>
      <c r="W23" s="40"/>
      <c r="X23" s="40"/>
      <c r="Y23" s="40"/>
      <c r="Z23" s="40"/>
      <c r="AA23" s="40"/>
    </row>
    <row r="24" spans="1:27" x14ac:dyDescent="0.2">
      <c r="A24" s="40">
        <v>11</v>
      </c>
      <c r="B24" s="40">
        <f t="shared" si="0"/>
        <v>0.16017913818359369</v>
      </c>
      <c r="C24" s="648">
        <f t="shared" si="1"/>
        <v>0.16017913818359369</v>
      </c>
      <c r="D24" s="40"/>
      <c r="E24" s="40"/>
      <c r="F24" s="40"/>
      <c r="G24" s="40"/>
      <c r="H24" s="40"/>
      <c r="I24" s="40"/>
      <c r="J24" s="40"/>
      <c r="K24" s="40"/>
      <c r="L24" s="40"/>
      <c r="M24" s="40"/>
      <c r="N24" s="40"/>
      <c r="O24" s="40"/>
      <c r="P24" s="40"/>
      <c r="Q24" s="40"/>
      <c r="R24" s="40"/>
      <c r="S24" s="40"/>
      <c r="T24" s="40"/>
      <c r="U24" s="40"/>
      <c r="V24" s="40"/>
      <c r="W24" s="40"/>
      <c r="X24" s="40"/>
      <c r="Y24" s="40"/>
      <c r="Z24" s="40"/>
      <c r="AA24" s="40"/>
    </row>
    <row r="25" spans="1:27" x14ac:dyDescent="0.2">
      <c r="A25" s="40">
        <v>12</v>
      </c>
      <c r="B25" s="40">
        <f t="shared" si="0"/>
        <v>0.12013435363769531</v>
      </c>
      <c r="C25" s="648">
        <f t="shared" si="1"/>
        <v>0.12013435363769531</v>
      </c>
      <c r="D25" s="40"/>
      <c r="E25" s="40"/>
      <c r="F25" s="40"/>
      <c r="G25" s="40"/>
      <c r="H25" s="40"/>
      <c r="I25" s="40"/>
      <c r="J25" s="40"/>
      <c r="K25" s="40"/>
      <c r="L25" s="40"/>
      <c r="M25" s="40"/>
      <c r="N25" s="40"/>
      <c r="O25" s="40"/>
      <c r="P25" s="40"/>
      <c r="Q25" s="40"/>
      <c r="R25" s="40"/>
      <c r="S25" s="40"/>
      <c r="T25" s="40"/>
      <c r="U25" s="40"/>
      <c r="V25" s="40"/>
      <c r="W25" s="40"/>
      <c r="X25" s="40"/>
      <c r="Y25" s="40"/>
      <c r="Z25" s="40"/>
      <c r="AA25" s="40"/>
    </row>
    <row r="26" spans="1:27" x14ac:dyDescent="0.2">
      <c r="A26" s="40">
        <v>13</v>
      </c>
      <c r="B26" s="40">
        <f t="shared" si="0"/>
        <v>7.3928833007812472E-2</v>
      </c>
      <c r="C26" s="648">
        <f t="shared" si="1"/>
        <v>7.3928833007812472E-2</v>
      </c>
      <c r="D26" s="40"/>
      <c r="E26" s="40"/>
      <c r="F26" s="40"/>
      <c r="G26" s="40"/>
      <c r="H26" s="40"/>
      <c r="I26" s="40"/>
      <c r="J26" s="40"/>
      <c r="K26" s="40"/>
      <c r="L26" s="40"/>
      <c r="M26" s="40"/>
      <c r="N26" s="40"/>
      <c r="O26" s="40"/>
      <c r="P26" s="40"/>
      <c r="Q26" s="40"/>
      <c r="R26" s="40"/>
      <c r="S26" s="40"/>
      <c r="T26" s="40"/>
      <c r="U26" s="40"/>
      <c r="V26" s="40"/>
      <c r="W26" s="40"/>
      <c r="X26" s="40"/>
      <c r="Y26" s="40"/>
      <c r="Z26" s="40"/>
      <c r="AA26" s="40"/>
    </row>
    <row r="27" spans="1:27" x14ac:dyDescent="0.2">
      <c r="A27" s="40">
        <v>14</v>
      </c>
      <c r="B27" s="40">
        <f t="shared" si="0"/>
        <v>3.6964416503906257E-2</v>
      </c>
      <c r="C27" s="648">
        <f t="shared" si="1"/>
        <v>3.6964416503906257E-2</v>
      </c>
      <c r="D27" s="40"/>
      <c r="E27" s="40"/>
      <c r="F27" s="40"/>
      <c r="G27" s="40"/>
      <c r="H27" s="40"/>
      <c r="I27" s="40"/>
      <c r="J27" s="40"/>
      <c r="K27" s="40"/>
      <c r="L27" s="40"/>
      <c r="M27" s="40"/>
      <c r="N27" s="40"/>
      <c r="O27" s="40"/>
      <c r="P27" s="40"/>
      <c r="Q27" s="40"/>
      <c r="R27" s="40"/>
      <c r="S27" s="40"/>
      <c r="T27" s="40"/>
      <c r="U27" s="40"/>
      <c r="V27" s="40"/>
      <c r="W27" s="40"/>
      <c r="X27" s="40"/>
      <c r="Y27" s="40"/>
      <c r="Z27" s="40"/>
      <c r="AA27" s="40"/>
    </row>
    <row r="28" spans="1:27" x14ac:dyDescent="0.2">
      <c r="A28" s="40">
        <v>15</v>
      </c>
      <c r="B28" s="40">
        <f t="shared" si="0"/>
        <v>1.4785766601562502E-2</v>
      </c>
      <c r="C28" s="648">
        <f t="shared" si="1"/>
        <v>1.4785766601562502E-2</v>
      </c>
      <c r="D28" s="40"/>
      <c r="E28" s="40"/>
      <c r="F28" s="40"/>
      <c r="G28" s="40"/>
      <c r="H28" s="40"/>
      <c r="I28" s="40"/>
      <c r="J28" s="40"/>
      <c r="K28" s="40"/>
      <c r="L28" s="40"/>
      <c r="M28" s="40"/>
      <c r="N28" s="40"/>
      <c r="O28" s="40"/>
      <c r="P28" s="40"/>
      <c r="Q28" s="40"/>
      <c r="R28" s="40"/>
      <c r="S28" s="40"/>
      <c r="T28" s="40"/>
      <c r="U28" s="40"/>
      <c r="V28" s="40"/>
      <c r="W28" s="40"/>
      <c r="X28" s="40"/>
      <c r="Y28" s="40"/>
      <c r="Z28" s="40"/>
      <c r="AA28" s="40"/>
    </row>
    <row r="29" spans="1:27" x14ac:dyDescent="0.2">
      <c r="A29" s="40">
        <v>16</v>
      </c>
      <c r="B29" s="40">
        <f t="shared" si="0"/>
        <v>4.6205520629882752E-3</v>
      </c>
      <c r="C29" s="648">
        <f t="shared" si="1"/>
        <v>4.6205520629882752E-3</v>
      </c>
      <c r="D29" s="40"/>
      <c r="E29" s="40"/>
      <c r="F29" s="40"/>
      <c r="G29" s="40"/>
      <c r="H29" s="40"/>
      <c r="I29" s="40"/>
      <c r="J29" s="40"/>
      <c r="K29" s="40"/>
      <c r="L29" s="40"/>
      <c r="M29" s="40"/>
      <c r="N29" s="40"/>
      <c r="O29" s="40"/>
      <c r="P29" s="40"/>
      <c r="Q29" s="40"/>
      <c r="R29" s="40"/>
      <c r="S29" s="40"/>
      <c r="T29" s="40"/>
      <c r="U29" s="40"/>
      <c r="V29" s="40"/>
      <c r="W29" s="40"/>
      <c r="X29" s="40"/>
      <c r="Y29" s="40"/>
      <c r="Z29" s="40"/>
      <c r="AA29" s="40"/>
    </row>
    <row r="30" spans="1:27" x14ac:dyDescent="0.2">
      <c r="A30" s="40">
        <v>17</v>
      </c>
      <c r="B30" s="40">
        <f t="shared" si="0"/>
        <v>1.0871887207031261E-3</v>
      </c>
      <c r="C30" s="648">
        <f t="shared" si="1"/>
        <v>1.0871887207031261E-3</v>
      </c>
      <c r="D30" s="40"/>
      <c r="E30" s="40"/>
      <c r="F30" s="40"/>
      <c r="G30" s="40"/>
      <c r="H30" s="40"/>
      <c r="I30" s="40"/>
      <c r="J30" s="40"/>
      <c r="K30" s="40"/>
      <c r="L30" s="40"/>
      <c r="M30" s="40"/>
      <c r="N30" s="40"/>
      <c r="O30" s="40"/>
      <c r="P30" s="40"/>
      <c r="Q30" s="40"/>
      <c r="R30" s="40"/>
      <c r="S30" s="40"/>
      <c r="T30" s="40"/>
      <c r="U30" s="40"/>
      <c r="V30" s="40"/>
      <c r="W30" s="40"/>
      <c r="X30" s="40"/>
      <c r="Y30" s="40"/>
      <c r="Z30" s="40"/>
      <c r="AA30" s="40"/>
    </row>
    <row r="31" spans="1:27" x14ac:dyDescent="0.2">
      <c r="A31" s="40">
        <v>18</v>
      </c>
      <c r="B31" s="40">
        <f t="shared" si="0"/>
        <v>1.8119812011718753E-4</v>
      </c>
      <c r="C31" s="648">
        <f t="shared" si="1"/>
        <v>1.8119812011718753E-4</v>
      </c>
      <c r="D31" s="40"/>
      <c r="E31" s="40"/>
      <c r="F31" s="40"/>
      <c r="G31" s="40"/>
      <c r="H31" s="40"/>
      <c r="I31" s="40"/>
      <c r="J31" s="40"/>
      <c r="K31" s="40"/>
      <c r="L31" s="40"/>
      <c r="M31" s="40"/>
      <c r="N31" s="40"/>
      <c r="O31" s="40"/>
      <c r="P31" s="40"/>
      <c r="Q31" s="40"/>
      <c r="R31" s="40"/>
      <c r="S31" s="40"/>
      <c r="T31" s="40"/>
      <c r="U31" s="40"/>
      <c r="V31" s="40"/>
      <c r="W31" s="40"/>
      <c r="X31" s="40"/>
      <c r="Y31" s="40"/>
      <c r="Z31" s="40"/>
      <c r="AA31" s="40"/>
    </row>
    <row r="32" spans="1:27" x14ac:dyDescent="0.2">
      <c r="A32" s="40">
        <v>19</v>
      </c>
      <c r="B32" s="40">
        <f t="shared" si="0"/>
        <v>1.9073486328125E-5</v>
      </c>
      <c r="C32" s="648">
        <f t="shared" si="1"/>
        <v>1.9073486328125E-5</v>
      </c>
      <c r="D32" s="40"/>
      <c r="E32" s="40"/>
      <c r="F32" s="40"/>
      <c r="G32" s="40"/>
      <c r="H32" s="40"/>
      <c r="I32" s="40"/>
      <c r="J32" s="40"/>
      <c r="K32" s="40"/>
      <c r="L32" s="40"/>
      <c r="M32" s="40"/>
      <c r="N32" s="40"/>
      <c r="O32" s="40"/>
      <c r="P32" s="40"/>
      <c r="Q32" s="40"/>
      <c r="R32" s="40"/>
      <c r="S32" s="40"/>
      <c r="T32" s="40"/>
      <c r="U32" s="40"/>
      <c r="V32" s="40"/>
      <c r="W32" s="40"/>
      <c r="X32" s="40"/>
      <c r="Y32" s="40"/>
      <c r="Z32" s="40"/>
      <c r="AA32" s="40"/>
    </row>
    <row r="33" spans="1:27" x14ac:dyDescent="0.2">
      <c r="A33" s="40">
        <v>20</v>
      </c>
      <c r="B33" s="40">
        <f t="shared" si="0"/>
        <v>9.5367431640625E-7</v>
      </c>
      <c r="C33" s="648">
        <f t="shared" si="1"/>
        <v>9.5367431640625E-7</v>
      </c>
      <c r="D33" s="40"/>
      <c r="E33" s="40"/>
      <c r="F33" s="40"/>
      <c r="G33" s="40"/>
      <c r="H33" s="40"/>
      <c r="I33" s="40"/>
      <c r="J33" s="40"/>
      <c r="K33" s="40"/>
      <c r="L33" s="40"/>
      <c r="M33" s="40"/>
      <c r="N33" s="40"/>
      <c r="O33" s="40"/>
      <c r="P33" s="40"/>
      <c r="Q33" s="40"/>
      <c r="R33" s="40"/>
      <c r="S33" s="40"/>
      <c r="T33" s="40"/>
      <c r="U33" s="40"/>
      <c r="V33" s="40"/>
      <c r="W33" s="40"/>
      <c r="X33" s="40"/>
      <c r="Y33" s="40"/>
      <c r="Z33" s="40"/>
      <c r="AA33" s="40"/>
    </row>
    <row r="34" spans="1:27" x14ac:dyDescent="0.2">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row>
    <row r="35" spans="1:27" x14ac:dyDescent="0.2">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row>
    <row r="36" spans="1:27" ht="87" customHeight="1" x14ac:dyDescent="0.2">
      <c r="A36" s="40"/>
      <c r="B36" s="40"/>
      <c r="C36" s="40"/>
      <c r="D36" s="40"/>
      <c r="E36" s="877" t="s">
        <v>656</v>
      </c>
      <c r="F36" s="877"/>
      <c r="G36" s="877"/>
      <c r="H36" s="877"/>
      <c r="I36" s="877" t="s">
        <v>657</v>
      </c>
      <c r="J36" s="877"/>
      <c r="K36" s="877"/>
      <c r="L36" s="877" t="s">
        <v>658</v>
      </c>
      <c r="M36" s="877"/>
      <c r="N36" s="877"/>
      <c r="O36" s="877"/>
      <c r="P36" s="40"/>
      <c r="Q36" s="40"/>
      <c r="R36" s="40"/>
      <c r="S36" s="40"/>
      <c r="T36" s="40"/>
      <c r="U36" s="40"/>
      <c r="V36" s="40"/>
      <c r="W36" s="40"/>
      <c r="X36" s="40"/>
      <c r="Y36" s="40"/>
      <c r="Z36" s="40"/>
      <c r="AA36" s="40"/>
    </row>
    <row r="37" spans="1:27" x14ac:dyDescent="0.2">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row>
    <row r="38" spans="1:27" x14ac:dyDescent="0.2">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row>
    <row r="39" spans="1:27" x14ac:dyDescent="0.2">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row>
    <row r="40" spans="1:27" x14ac:dyDescent="0.2">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row>
    <row r="41" spans="1:27" x14ac:dyDescent="0.2">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c r="AA41" s="40"/>
    </row>
    <row r="42" spans="1:27" x14ac:dyDescent="0.2">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row>
    <row r="43" spans="1:27" x14ac:dyDescent="0.2">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c r="AA43" s="40"/>
    </row>
    <row r="44" spans="1:27" x14ac:dyDescent="0.2">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c r="AA44" s="40"/>
    </row>
    <row r="45" spans="1:27" x14ac:dyDescent="0.2">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row>
    <row r="46" spans="1:27" x14ac:dyDescent="0.2">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row>
    <row r="47" spans="1:27" x14ac:dyDescent="0.2">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c r="AA47" s="40"/>
    </row>
    <row r="48" spans="1:27" x14ac:dyDescent="0.2">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row>
    <row r="49" spans="1:27" x14ac:dyDescent="0.2">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row>
    <row r="50" spans="1:27" x14ac:dyDescent="0.2">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row>
    <row r="51" spans="1:27" x14ac:dyDescent="0.2">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40"/>
    </row>
    <row r="52" spans="1:27" x14ac:dyDescent="0.2">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row>
    <row r="53" spans="1:27" x14ac:dyDescent="0.2">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row>
    <row r="54" spans="1:27" x14ac:dyDescent="0.2">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row>
    <row r="55" spans="1:27" x14ac:dyDescent="0.2">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row>
    <row r="56" spans="1:27" x14ac:dyDescent="0.2">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row>
    <row r="57" spans="1:27" x14ac:dyDescent="0.2">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row>
    <row r="58" spans="1:27" x14ac:dyDescent="0.2">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row>
    <row r="59" spans="1:27" x14ac:dyDescent="0.2">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row>
    <row r="60" spans="1:27" x14ac:dyDescent="0.2">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row>
    <row r="61" spans="1:27" x14ac:dyDescent="0.2">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row>
    <row r="62" spans="1:27" x14ac:dyDescent="0.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row>
    <row r="63" spans="1:27" x14ac:dyDescent="0.2">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row>
    <row r="64" spans="1:27" x14ac:dyDescent="0.2">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row>
    <row r="65" spans="1:27" x14ac:dyDescent="0.2">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row>
    <row r="66" spans="1:27" x14ac:dyDescent="0.2">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row>
    <row r="67" spans="1:27" x14ac:dyDescent="0.2">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row>
    <row r="68" spans="1:27" x14ac:dyDescent="0.2">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row>
    <row r="69" spans="1:27" x14ac:dyDescent="0.2">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row>
    <row r="70" spans="1:27" x14ac:dyDescent="0.2">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row>
    <row r="71" spans="1:27" x14ac:dyDescent="0.2">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row>
    <row r="72" spans="1:27" x14ac:dyDescent="0.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row>
    <row r="73" spans="1:27" x14ac:dyDescent="0.2">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row>
    <row r="74" spans="1:27" x14ac:dyDescent="0.2">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row>
    <row r="75" spans="1:27" x14ac:dyDescent="0.2">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row>
    <row r="76" spans="1:27" x14ac:dyDescent="0.2">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row>
    <row r="77" spans="1:27" x14ac:dyDescent="0.2">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row>
    <row r="78" spans="1:27" x14ac:dyDescent="0.2">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row>
    <row r="79" spans="1:27" x14ac:dyDescent="0.2">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row>
    <row r="80" spans="1:27" x14ac:dyDescent="0.2">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row>
    <row r="81" spans="1:27" x14ac:dyDescent="0.2">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row>
    <row r="82" spans="1:27" x14ac:dyDescent="0.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row>
    <row r="83" spans="1:27" x14ac:dyDescent="0.2">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row>
    <row r="84" spans="1:27" x14ac:dyDescent="0.2">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row>
    <row r="85" spans="1:27" x14ac:dyDescent="0.2">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row>
    <row r="86" spans="1:27" x14ac:dyDescent="0.2">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row>
  </sheetData>
  <mergeCells count="3">
    <mergeCell ref="E36:H36"/>
    <mergeCell ref="I36:K36"/>
    <mergeCell ref="L36:O36"/>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D8A62-F5B8-41E6-8A17-94ED37979164}">
  <sheetPr>
    <tabColor theme="5" tint="0.39997558519241921"/>
  </sheetPr>
  <dimension ref="A1:S53"/>
  <sheetViews>
    <sheetView workbookViewId="0">
      <selection activeCell="I21" sqref="I21"/>
    </sheetView>
  </sheetViews>
  <sheetFormatPr baseColWidth="10" defaultColWidth="9.1640625" defaultRowHeight="16" x14ac:dyDescent="0.2"/>
  <cols>
    <col min="1" max="1" width="27.5" style="233" customWidth="1"/>
    <col min="2" max="2" width="25.83203125" style="233" customWidth="1"/>
    <col min="3" max="8" width="10.6640625" style="234" customWidth="1"/>
    <col min="9" max="9" width="33.83203125" style="233" customWidth="1"/>
    <col min="10" max="10" width="31.83203125" style="233" customWidth="1"/>
    <col min="11" max="16384" width="9.1640625" style="233"/>
  </cols>
  <sheetData>
    <row r="1" spans="1:19" x14ac:dyDescent="0.2">
      <c r="A1" s="237" t="s">
        <v>385</v>
      </c>
      <c r="B1" s="238"/>
      <c r="C1" s="239"/>
      <c r="D1" s="239"/>
      <c r="E1" s="239"/>
      <c r="F1" s="239"/>
      <c r="G1" s="239"/>
      <c r="H1" s="239"/>
      <c r="I1" s="238"/>
      <c r="J1" s="238"/>
      <c r="K1" s="235"/>
      <c r="L1" s="235"/>
      <c r="M1" s="235"/>
      <c r="N1" s="235"/>
      <c r="O1" s="235"/>
      <c r="P1" s="235"/>
      <c r="Q1" s="235"/>
      <c r="R1" s="235"/>
      <c r="S1" s="235"/>
    </row>
    <row r="2" spans="1:19" x14ac:dyDescent="0.2">
      <c r="A2" s="238"/>
      <c r="B2" s="238"/>
      <c r="C2" s="239"/>
      <c r="D2" s="239"/>
      <c r="E2" s="239"/>
      <c r="F2" s="239"/>
      <c r="G2" s="239"/>
      <c r="H2" s="239" t="s">
        <v>386</v>
      </c>
      <c r="I2" s="238"/>
      <c r="J2" s="238"/>
      <c r="K2" s="235"/>
      <c r="L2" s="235"/>
      <c r="M2" s="235"/>
      <c r="N2" s="235"/>
      <c r="O2" s="235"/>
      <c r="P2" s="235"/>
      <c r="Q2" s="235"/>
      <c r="R2" s="235"/>
      <c r="S2" s="235"/>
    </row>
    <row r="3" spans="1:19" x14ac:dyDescent="0.2">
      <c r="A3" s="240" t="s">
        <v>374</v>
      </c>
      <c r="B3" s="240" t="s">
        <v>375</v>
      </c>
      <c r="C3" s="241" t="s">
        <v>377</v>
      </c>
      <c r="D3" s="241" t="s">
        <v>376</v>
      </c>
      <c r="E3" s="241" t="s">
        <v>379</v>
      </c>
      <c r="F3" s="241" t="s">
        <v>383</v>
      </c>
      <c r="G3" s="241" t="s">
        <v>378</v>
      </c>
      <c r="H3" s="241" t="s">
        <v>380</v>
      </c>
      <c r="I3" s="241" t="s">
        <v>381</v>
      </c>
      <c r="J3" s="241" t="s">
        <v>382</v>
      </c>
      <c r="K3" s="235"/>
      <c r="L3" s="235"/>
      <c r="M3" s="235"/>
      <c r="N3" s="235"/>
      <c r="O3" s="235"/>
      <c r="P3" s="235"/>
      <c r="Q3" s="235"/>
      <c r="R3" s="235"/>
      <c r="S3" s="235"/>
    </row>
    <row r="4" spans="1:19" x14ac:dyDescent="0.2">
      <c r="A4" s="242" t="s">
        <v>24</v>
      </c>
      <c r="B4" s="242" t="s">
        <v>177</v>
      </c>
      <c r="C4" s="67">
        <f>'Standard Tests'!$B$23</f>
        <v>109</v>
      </c>
      <c r="D4" s="67">
        <f>'Standard Tests'!$B$24</f>
        <v>50</v>
      </c>
      <c r="E4" s="67">
        <f t="shared" ref="E4:E18" si="0">C4-D4</f>
        <v>59</v>
      </c>
      <c r="F4" s="67">
        <f>SQRT(E4^2)</f>
        <v>59</v>
      </c>
      <c r="G4" s="67">
        <f>VLOOKUP('Standard Tests'!$D$1,'Do Not Edit'!$AQ$4:$BF$53,2)</f>
        <v>16.399999999999999</v>
      </c>
      <c r="H4" s="67">
        <v>37</v>
      </c>
      <c r="I4" s="243" t="str">
        <f t="shared" ref="I4:I18" si="1">IF(F4&gt;G4,"Reliable Difference","Normal")</f>
        <v>Reliable Difference</v>
      </c>
      <c r="J4" s="243" t="str">
        <f>IF(I4="Normal","N/A",IF(F4&gt;='Do Not Edit'!AR59,"Abnormal","No"))</f>
        <v>Abnormal</v>
      </c>
      <c r="K4" s="235"/>
      <c r="L4" s="235"/>
      <c r="M4" s="235"/>
      <c r="N4" s="235"/>
      <c r="O4" s="235"/>
      <c r="P4" s="235"/>
      <c r="Q4" s="235"/>
      <c r="R4" s="235"/>
      <c r="S4" s="235"/>
    </row>
    <row r="5" spans="1:19" x14ac:dyDescent="0.2">
      <c r="A5" s="242" t="s">
        <v>24</v>
      </c>
      <c r="B5" s="242" t="s">
        <v>26</v>
      </c>
      <c r="C5" s="67">
        <f>'Standard Tests'!$B$23</f>
        <v>109</v>
      </c>
      <c r="D5" s="67">
        <f>'Standard Tests'!$B$25</f>
        <v>60</v>
      </c>
      <c r="E5" s="67">
        <f t="shared" si="0"/>
        <v>49</v>
      </c>
      <c r="F5" s="67">
        <f t="shared" ref="F5:F18" si="2">SQRT(E5^2)</f>
        <v>49</v>
      </c>
      <c r="G5" s="67">
        <f>VLOOKUP('Standard Tests'!$D$1,'Do Not Edit'!$AQ$4:$BF$53,3)</f>
        <v>16.600000000000001</v>
      </c>
      <c r="H5" s="67">
        <v>33</v>
      </c>
      <c r="I5" s="243" t="str">
        <f t="shared" si="1"/>
        <v>Reliable Difference</v>
      </c>
      <c r="J5" s="243" t="str">
        <f>IF(I5="Normal","N/A",IF(F5&gt;='Do Not Edit'!AR60,"Abnormal","No"))</f>
        <v>Abnormal</v>
      </c>
      <c r="K5" s="235"/>
      <c r="L5" s="235"/>
      <c r="M5" s="235"/>
      <c r="N5" s="235"/>
      <c r="O5" s="235"/>
      <c r="P5" s="235"/>
      <c r="Q5" s="235"/>
      <c r="R5" s="235"/>
      <c r="S5" s="235"/>
    </row>
    <row r="6" spans="1:19" x14ac:dyDescent="0.2">
      <c r="A6" s="242" t="s">
        <v>24</v>
      </c>
      <c r="B6" s="242" t="s">
        <v>27</v>
      </c>
      <c r="C6" s="67">
        <f>'Standard Tests'!$B$23</f>
        <v>109</v>
      </c>
      <c r="D6" s="67">
        <f>'Standard Tests'!$B$26</f>
        <v>64</v>
      </c>
      <c r="E6" s="67">
        <f t="shared" si="0"/>
        <v>45</v>
      </c>
      <c r="F6" s="67">
        <f t="shared" si="2"/>
        <v>45</v>
      </c>
      <c r="G6" s="67">
        <f>VLOOKUP('Standard Tests'!$D$1,'Do Not Edit'!$AQ$4:$BF$53,4)</f>
        <v>16.100000000000001</v>
      </c>
      <c r="H6" s="67">
        <v>32</v>
      </c>
      <c r="I6" s="243" t="str">
        <f t="shared" si="1"/>
        <v>Reliable Difference</v>
      </c>
      <c r="J6" s="243" t="str">
        <f>IF(I6="Normal","N/A",IF(F6&gt;='Do Not Edit'!AR61,"Abnormal","No"))</f>
        <v>Abnormal</v>
      </c>
      <c r="K6" s="235"/>
      <c r="L6" s="235"/>
      <c r="M6" s="235"/>
      <c r="N6" s="235"/>
      <c r="O6" s="235"/>
      <c r="P6" s="235"/>
      <c r="Q6" s="235"/>
      <c r="R6" s="235"/>
      <c r="S6" s="235"/>
    </row>
    <row r="7" spans="1:19" x14ac:dyDescent="0.2">
      <c r="A7" s="242" t="s">
        <v>24</v>
      </c>
      <c r="B7" s="242" t="s">
        <v>28</v>
      </c>
      <c r="C7" s="67">
        <f>'Standard Tests'!$B$23</f>
        <v>109</v>
      </c>
      <c r="D7" s="67">
        <f>'Standard Tests'!$B$27</f>
        <v>75</v>
      </c>
      <c r="E7" s="67">
        <f t="shared" si="0"/>
        <v>34</v>
      </c>
      <c r="F7" s="67">
        <f t="shared" si="2"/>
        <v>34</v>
      </c>
      <c r="G7" s="67">
        <f>VLOOKUP('Standard Tests'!$D$1,'Do Not Edit'!$AQ$4:$BF$53,5)</f>
        <v>16.100000000000001</v>
      </c>
      <c r="H7" s="67">
        <v>27</v>
      </c>
      <c r="I7" s="243" t="str">
        <f t="shared" si="1"/>
        <v>Reliable Difference</v>
      </c>
      <c r="J7" s="243" t="str">
        <f>IF(I7="Normal","N/A",IF(F7&gt;='Do Not Edit'!AR62,"Abnormal","No"))</f>
        <v>Abnormal</v>
      </c>
      <c r="K7" s="235"/>
      <c r="L7" s="235"/>
      <c r="M7" s="235"/>
      <c r="N7" s="235"/>
      <c r="O7" s="235"/>
      <c r="P7" s="235"/>
      <c r="Q7" s="235"/>
      <c r="R7" s="235"/>
      <c r="S7" s="235"/>
    </row>
    <row r="8" spans="1:19" x14ac:dyDescent="0.2">
      <c r="A8" s="242" t="s">
        <v>24</v>
      </c>
      <c r="B8" s="242" t="s">
        <v>210</v>
      </c>
      <c r="C8" s="67">
        <f>'Standard Tests'!$B$23</f>
        <v>109</v>
      </c>
      <c r="D8" s="67">
        <f>'Standard Tests'!$B$28</f>
        <v>64</v>
      </c>
      <c r="E8" s="67">
        <f t="shared" si="0"/>
        <v>45</v>
      </c>
      <c r="F8" s="67">
        <f t="shared" si="2"/>
        <v>45</v>
      </c>
      <c r="G8" s="67">
        <f>VLOOKUP('Standard Tests'!$D$1,'Do Not Edit'!$AQ$4:$BF$53,6)</f>
        <v>13.8</v>
      </c>
      <c r="H8" s="67">
        <v>21</v>
      </c>
      <c r="I8" s="243" t="str">
        <f t="shared" si="1"/>
        <v>Reliable Difference</v>
      </c>
      <c r="J8" s="243" t="str">
        <f>IF(I8="Normal","N/A",IF(F8&gt;='Do Not Edit'!AR63,"Abnormal","No"))</f>
        <v>Abnormal</v>
      </c>
      <c r="K8" s="235"/>
      <c r="L8" s="235"/>
      <c r="M8" s="235"/>
      <c r="N8" s="235"/>
      <c r="O8" s="235"/>
      <c r="P8" s="235"/>
      <c r="Q8" s="235"/>
      <c r="R8" s="235"/>
      <c r="S8" s="235"/>
    </row>
    <row r="9" spans="1:19" x14ac:dyDescent="0.2">
      <c r="A9" s="242" t="s">
        <v>177</v>
      </c>
      <c r="B9" s="242" t="s">
        <v>26</v>
      </c>
      <c r="C9" s="96">
        <f>'Standard Tests'!$B$24</f>
        <v>50</v>
      </c>
      <c r="D9" s="96">
        <f>'Standard Tests'!$B$25</f>
        <v>60</v>
      </c>
      <c r="E9" s="96">
        <f t="shared" si="0"/>
        <v>-10</v>
      </c>
      <c r="F9" s="96">
        <f t="shared" si="2"/>
        <v>10</v>
      </c>
      <c r="G9" s="96">
        <f>VLOOKUP('Standard Tests'!$D$1,'Do Not Edit'!$AQ$4:$BF$53,7)</f>
        <v>16.899999999999999</v>
      </c>
      <c r="H9" s="96">
        <v>37</v>
      </c>
      <c r="I9" s="243" t="str">
        <f t="shared" si="1"/>
        <v>Normal</v>
      </c>
      <c r="J9" s="243" t="str">
        <f>IF(I9="Normal","N/A",IF(F9&gt;='Do Not Edit'!AR64,"Abnormal","No"))</f>
        <v>N/A</v>
      </c>
      <c r="K9" s="235"/>
      <c r="L9" s="235"/>
      <c r="M9" s="235"/>
      <c r="N9" s="235"/>
      <c r="O9" s="235"/>
      <c r="P9" s="235"/>
      <c r="Q9" s="235"/>
      <c r="R9" s="235"/>
      <c r="S9" s="235"/>
    </row>
    <row r="10" spans="1:19" x14ac:dyDescent="0.2">
      <c r="A10" s="242" t="s">
        <v>177</v>
      </c>
      <c r="B10" s="242" t="s">
        <v>27</v>
      </c>
      <c r="C10" s="96">
        <f>'Standard Tests'!$B$24</f>
        <v>50</v>
      </c>
      <c r="D10" s="96">
        <f>'Standard Tests'!$B$26</f>
        <v>64</v>
      </c>
      <c r="E10" s="96">
        <f t="shared" si="0"/>
        <v>-14</v>
      </c>
      <c r="F10" s="96">
        <f t="shared" si="2"/>
        <v>14</v>
      </c>
      <c r="G10" s="96">
        <f>VLOOKUP('Standard Tests'!$D$1,'Do Not Edit'!$AQ$4:$BF$53,8)</f>
        <v>16.399999999999999</v>
      </c>
      <c r="H10" s="96">
        <v>35</v>
      </c>
      <c r="I10" s="243" t="str">
        <f t="shared" si="1"/>
        <v>Normal</v>
      </c>
      <c r="J10" s="243" t="str">
        <f>IF(I10="Normal","N/A",IF(F10&gt;='Do Not Edit'!AR65,"Abnormal","No"))</f>
        <v>N/A</v>
      </c>
      <c r="K10" s="235"/>
      <c r="L10" s="235"/>
      <c r="M10" s="235"/>
      <c r="N10" s="235"/>
      <c r="O10" s="235"/>
      <c r="P10" s="235"/>
      <c r="Q10" s="235"/>
      <c r="R10" s="235"/>
      <c r="S10" s="235"/>
    </row>
    <row r="11" spans="1:19" x14ac:dyDescent="0.2">
      <c r="A11" s="242" t="s">
        <v>177</v>
      </c>
      <c r="B11" s="242" t="s">
        <v>28</v>
      </c>
      <c r="C11" s="96">
        <f>'Standard Tests'!$B$24</f>
        <v>50</v>
      </c>
      <c r="D11" s="96">
        <f>'Standard Tests'!$B$27</f>
        <v>75</v>
      </c>
      <c r="E11" s="96">
        <f t="shared" si="0"/>
        <v>-25</v>
      </c>
      <c r="F11" s="96">
        <f t="shared" si="2"/>
        <v>25</v>
      </c>
      <c r="G11" s="96">
        <f>VLOOKUP('Standard Tests'!$D$1,'Do Not Edit'!$AQ$4:$BF$53,9)</f>
        <v>16.399999999999999</v>
      </c>
      <c r="H11" s="96">
        <v>35</v>
      </c>
      <c r="I11" s="243" t="str">
        <f t="shared" si="1"/>
        <v>Reliable Difference</v>
      </c>
      <c r="J11" s="243" t="str">
        <f>IF(I11="Normal","N/A",IF(F11&gt;='Do Not Edit'!AR66,"Abnormal","No"))</f>
        <v>No</v>
      </c>
      <c r="K11" s="235"/>
      <c r="L11" s="235"/>
      <c r="M11" s="235"/>
      <c r="N11" s="235"/>
      <c r="O11" s="235"/>
      <c r="P11" s="235"/>
      <c r="Q11" s="235"/>
      <c r="R11" s="235"/>
      <c r="S11" s="235"/>
    </row>
    <row r="12" spans="1:19" x14ac:dyDescent="0.2">
      <c r="A12" s="242" t="s">
        <v>177</v>
      </c>
      <c r="B12" s="242" t="s">
        <v>210</v>
      </c>
      <c r="C12" s="96">
        <f>'Standard Tests'!$B$24</f>
        <v>50</v>
      </c>
      <c r="D12" s="96">
        <f>'Standard Tests'!$B$28</f>
        <v>64</v>
      </c>
      <c r="E12" s="96">
        <f t="shared" si="0"/>
        <v>-14</v>
      </c>
      <c r="F12" s="96">
        <f t="shared" si="2"/>
        <v>14</v>
      </c>
      <c r="G12" s="96">
        <f>VLOOKUP('Standard Tests'!$D$1,'Do Not Edit'!$AQ$4:$BF$53,10)</f>
        <v>14.1</v>
      </c>
      <c r="H12" s="96">
        <v>26</v>
      </c>
      <c r="I12" s="243" t="str">
        <f t="shared" si="1"/>
        <v>Normal</v>
      </c>
      <c r="J12" s="243" t="str">
        <f>IF(I12="Normal","N/A",IF(F12&gt;='Do Not Edit'!AR67,"Abnormal","No"))</f>
        <v>N/A</v>
      </c>
      <c r="K12" s="235"/>
      <c r="L12" s="235"/>
      <c r="M12" s="235"/>
      <c r="N12" s="235"/>
      <c r="O12" s="235"/>
      <c r="P12" s="235"/>
      <c r="Q12" s="235"/>
      <c r="R12" s="235"/>
      <c r="S12" s="235"/>
    </row>
    <row r="13" spans="1:19" x14ac:dyDescent="0.2">
      <c r="A13" s="242" t="s">
        <v>26</v>
      </c>
      <c r="B13" s="242" t="s">
        <v>27</v>
      </c>
      <c r="C13" s="67">
        <f>'Standard Tests'!$B$25</f>
        <v>60</v>
      </c>
      <c r="D13" s="67">
        <f>'Standard Tests'!$B$26</f>
        <v>64</v>
      </c>
      <c r="E13" s="67">
        <f t="shared" si="0"/>
        <v>-4</v>
      </c>
      <c r="F13" s="67">
        <f t="shared" si="2"/>
        <v>4</v>
      </c>
      <c r="G13" s="67">
        <f>VLOOKUP('Standard Tests'!$D$1,'Do Not Edit'!$AQ$4:$BF$53,11)</f>
        <v>16.600000000000001</v>
      </c>
      <c r="H13" s="67">
        <v>35</v>
      </c>
      <c r="I13" s="243" t="str">
        <f t="shared" si="1"/>
        <v>Normal</v>
      </c>
      <c r="J13" s="243" t="str">
        <f>IF(I13="Normal","N/A",IF(F13&gt;='Do Not Edit'!AR68,"Abnormal","No"))</f>
        <v>N/A</v>
      </c>
      <c r="K13" s="235"/>
      <c r="L13" s="235"/>
      <c r="M13" s="235"/>
      <c r="N13" s="235"/>
      <c r="O13" s="235"/>
      <c r="P13" s="235"/>
      <c r="Q13" s="235"/>
      <c r="R13" s="235"/>
      <c r="S13" s="235"/>
    </row>
    <row r="14" spans="1:19" x14ac:dyDescent="0.2">
      <c r="A14" s="242" t="s">
        <v>26</v>
      </c>
      <c r="B14" s="242" t="s">
        <v>28</v>
      </c>
      <c r="C14" s="67">
        <f>'Standard Tests'!$B$25</f>
        <v>60</v>
      </c>
      <c r="D14" s="67">
        <f>'Standard Tests'!$B$27</f>
        <v>75</v>
      </c>
      <c r="E14" s="67">
        <f t="shared" si="0"/>
        <v>-15</v>
      </c>
      <c r="F14" s="67">
        <f t="shared" si="2"/>
        <v>15</v>
      </c>
      <c r="G14" s="67">
        <f>VLOOKUP('Standard Tests'!$D$1,'Do Not Edit'!$AQ$4:$BF$53,12)</f>
        <v>16.600000000000001</v>
      </c>
      <c r="H14" s="67">
        <v>35</v>
      </c>
      <c r="I14" s="243" t="str">
        <f t="shared" si="1"/>
        <v>Normal</v>
      </c>
      <c r="J14" s="243" t="str">
        <f>IF(I14="Normal","N/A",IF(F14&gt;='Do Not Edit'!AR69,"Abnormal","No"))</f>
        <v>N/A</v>
      </c>
      <c r="K14" s="235"/>
      <c r="L14" s="235"/>
      <c r="M14" s="235"/>
      <c r="N14" s="235"/>
      <c r="O14" s="235"/>
      <c r="P14" s="235"/>
      <c r="Q14" s="235"/>
      <c r="R14" s="235"/>
      <c r="S14" s="235"/>
    </row>
    <row r="15" spans="1:19" x14ac:dyDescent="0.2">
      <c r="A15" s="242" t="s">
        <v>26</v>
      </c>
      <c r="B15" s="242" t="s">
        <v>210</v>
      </c>
      <c r="C15" s="67">
        <f>'Standard Tests'!$B$25</f>
        <v>60</v>
      </c>
      <c r="D15" s="67">
        <f>'Standard Tests'!$B$28</f>
        <v>64</v>
      </c>
      <c r="E15" s="67">
        <f t="shared" si="0"/>
        <v>-4</v>
      </c>
      <c r="F15" s="67">
        <f t="shared" si="2"/>
        <v>4</v>
      </c>
      <c r="G15" s="67">
        <f>VLOOKUP('Standard Tests'!$D$1,'Do Not Edit'!$AQ$4:$BF$53,13)</f>
        <v>14.4</v>
      </c>
      <c r="H15" s="67">
        <v>26</v>
      </c>
      <c r="I15" s="243" t="str">
        <f t="shared" si="1"/>
        <v>Normal</v>
      </c>
      <c r="J15" s="243" t="str">
        <f>IF(I15="Normal","N/A",IF(F15&gt;='Do Not Edit'!AR70,"Abnormal","No"))</f>
        <v>N/A</v>
      </c>
      <c r="K15" s="235"/>
      <c r="L15" s="235"/>
      <c r="M15" s="235"/>
      <c r="N15" s="235"/>
      <c r="O15" s="235"/>
      <c r="P15" s="235"/>
      <c r="Q15" s="235"/>
      <c r="R15" s="235"/>
      <c r="S15" s="235"/>
    </row>
    <row r="16" spans="1:19" x14ac:dyDescent="0.2">
      <c r="A16" s="242" t="s">
        <v>27</v>
      </c>
      <c r="B16" s="242" t="s">
        <v>28</v>
      </c>
      <c r="C16" s="96">
        <f>'Standard Tests'!$B$26</f>
        <v>64</v>
      </c>
      <c r="D16" s="96">
        <f>'Standard Tests'!$B$27</f>
        <v>75</v>
      </c>
      <c r="E16" s="96">
        <f t="shared" si="0"/>
        <v>-11</v>
      </c>
      <c r="F16" s="96">
        <f t="shared" si="2"/>
        <v>11</v>
      </c>
      <c r="G16" s="96">
        <f>VLOOKUP('Standard Tests'!$D$1,'Do Not Edit'!$AQ$4:$BF$53,14)</f>
        <v>16.100000000000001</v>
      </c>
      <c r="H16" s="96">
        <v>33</v>
      </c>
      <c r="I16" s="243" t="str">
        <f t="shared" si="1"/>
        <v>Normal</v>
      </c>
      <c r="J16" s="243" t="str">
        <f>IF(I16="Normal","N/A",IF(F16&gt;='Do Not Edit'!AR71,"Abnormal","No"))</f>
        <v>N/A</v>
      </c>
      <c r="K16" s="235"/>
      <c r="L16" s="235"/>
      <c r="M16" s="235"/>
      <c r="N16" s="235"/>
      <c r="O16" s="235"/>
      <c r="P16" s="235"/>
      <c r="Q16" s="235"/>
      <c r="R16" s="235"/>
      <c r="S16" s="235"/>
    </row>
    <row r="17" spans="1:19" x14ac:dyDescent="0.2">
      <c r="A17" s="242" t="s">
        <v>27</v>
      </c>
      <c r="B17" s="242" t="s">
        <v>210</v>
      </c>
      <c r="C17" s="96">
        <f>'Standard Tests'!$B$26</f>
        <v>64</v>
      </c>
      <c r="D17" s="96">
        <f>'Standard Tests'!$B$28</f>
        <v>64</v>
      </c>
      <c r="E17" s="96">
        <f t="shared" si="0"/>
        <v>0</v>
      </c>
      <c r="F17" s="96">
        <f t="shared" si="2"/>
        <v>0</v>
      </c>
      <c r="G17" s="96">
        <f>VLOOKUP('Standard Tests'!$D$1,'Do Not Edit'!$AQ$4:$BF$53,15)</f>
        <v>13.8</v>
      </c>
      <c r="H17" s="96">
        <v>23</v>
      </c>
      <c r="I17" s="243" t="str">
        <f t="shared" si="1"/>
        <v>Normal</v>
      </c>
      <c r="J17" s="243" t="str">
        <f>IF(I17="Normal","N/A",IF(F17&gt;='Do Not Edit'!AR72,"Abnormal","No"))</f>
        <v>N/A</v>
      </c>
      <c r="K17" s="235"/>
      <c r="L17" s="235"/>
      <c r="M17" s="235"/>
      <c r="N17" s="235"/>
      <c r="O17" s="235"/>
      <c r="P17" s="235"/>
      <c r="Q17" s="235"/>
      <c r="R17" s="235"/>
      <c r="S17" s="235"/>
    </row>
    <row r="18" spans="1:19" x14ac:dyDescent="0.2">
      <c r="A18" s="242" t="s">
        <v>28</v>
      </c>
      <c r="B18" s="242" t="s">
        <v>210</v>
      </c>
      <c r="C18" s="67">
        <f>'Standard Tests'!$B$27</f>
        <v>75</v>
      </c>
      <c r="D18" s="67">
        <f>'Standard Tests'!$B$28</f>
        <v>64</v>
      </c>
      <c r="E18" s="67">
        <f t="shared" si="0"/>
        <v>11</v>
      </c>
      <c r="F18" s="67">
        <f t="shared" si="2"/>
        <v>11</v>
      </c>
      <c r="G18" s="67">
        <f>VLOOKUP('Standard Tests'!$D$1,'Do Not Edit'!$AQ$4:$BF$53,16)</f>
        <v>13.8</v>
      </c>
      <c r="H18" s="67">
        <v>22</v>
      </c>
      <c r="I18" s="243" t="str">
        <f t="shared" si="1"/>
        <v>Normal</v>
      </c>
      <c r="J18" s="243" t="str">
        <f>IF(I18="Normal","N/A",IF(F18&gt;='Do Not Edit'!AR73,"Abnormal","No"))</f>
        <v>N/A</v>
      </c>
      <c r="K18" s="235"/>
      <c r="L18" s="235"/>
      <c r="M18" s="235"/>
      <c r="N18" s="235"/>
      <c r="O18" s="235"/>
      <c r="P18" s="235"/>
      <c r="Q18" s="235"/>
      <c r="R18" s="235"/>
      <c r="S18" s="235"/>
    </row>
    <row r="19" spans="1:19" x14ac:dyDescent="0.2">
      <c r="A19" s="235"/>
      <c r="B19" s="235"/>
      <c r="C19" s="236"/>
      <c r="D19" s="236"/>
      <c r="E19" s="236"/>
      <c r="F19" s="236"/>
      <c r="G19" s="236"/>
      <c r="H19" s="236"/>
      <c r="I19" s="235"/>
      <c r="J19" s="235"/>
      <c r="K19" s="235"/>
      <c r="L19" s="235"/>
      <c r="M19" s="235"/>
      <c r="N19" s="235"/>
      <c r="O19" s="235"/>
      <c r="P19" s="235"/>
      <c r="Q19" s="235"/>
      <c r="R19" s="235"/>
      <c r="S19" s="235"/>
    </row>
    <row r="20" spans="1:19" x14ac:dyDescent="0.2">
      <c r="A20" s="235"/>
      <c r="B20" s="235"/>
      <c r="C20" s="236"/>
      <c r="D20" s="236"/>
      <c r="E20" s="236"/>
      <c r="F20" s="236"/>
      <c r="G20" s="236"/>
      <c r="H20" s="236"/>
      <c r="I20" s="235"/>
      <c r="J20" s="235"/>
      <c r="K20" s="235"/>
      <c r="L20" s="235"/>
      <c r="M20" s="235"/>
      <c r="N20" s="235"/>
      <c r="O20" s="235"/>
      <c r="P20" s="235"/>
      <c r="Q20" s="235"/>
      <c r="R20" s="235"/>
      <c r="S20" s="235"/>
    </row>
    <row r="21" spans="1:19" x14ac:dyDescent="0.2">
      <c r="A21" s="235"/>
      <c r="B21" s="235"/>
      <c r="C21" s="236"/>
      <c r="D21" s="236"/>
      <c r="E21" s="236"/>
      <c r="F21" s="236"/>
      <c r="G21" s="236"/>
      <c r="H21" s="236"/>
      <c r="I21" s="235"/>
      <c r="J21" s="235"/>
      <c r="K21" s="235"/>
      <c r="L21" s="235"/>
      <c r="M21" s="235"/>
      <c r="N21" s="235"/>
      <c r="O21" s="235"/>
      <c r="P21" s="235"/>
      <c r="Q21" s="235"/>
      <c r="R21" s="235"/>
      <c r="S21" s="235"/>
    </row>
    <row r="22" spans="1:19" x14ac:dyDescent="0.2">
      <c r="A22" s="235"/>
      <c r="B22" s="235"/>
      <c r="C22" s="236"/>
      <c r="D22" s="236"/>
      <c r="E22" s="236"/>
      <c r="F22" s="236"/>
      <c r="G22" s="236"/>
      <c r="H22" s="236"/>
      <c r="I22" s="235"/>
      <c r="J22" s="235"/>
      <c r="K22" s="235"/>
      <c r="L22" s="235"/>
      <c r="M22" s="235"/>
      <c r="N22" s="235"/>
      <c r="O22" s="235"/>
      <c r="P22" s="235"/>
      <c r="Q22" s="235"/>
      <c r="R22" s="235"/>
      <c r="S22" s="235"/>
    </row>
    <row r="23" spans="1:19" x14ac:dyDescent="0.2">
      <c r="A23" s="235"/>
      <c r="B23" s="235"/>
      <c r="C23" s="236"/>
      <c r="D23" s="236"/>
      <c r="E23" s="236"/>
      <c r="F23" s="236"/>
      <c r="G23" s="236"/>
      <c r="H23" s="236"/>
      <c r="I23" s="235"/>
      <c r="J23" s="235"/>
      <c r="K23" s="235"/>
      <c r="L23" s="235"/>
      <c r="M23" s="235"/>
      <c r="N23" s="235"/>
      <c r="O23" s="235"/>
      <c r="P23" s="235"/>
      <c r="Q23" s="235"/>
      <c r="R23" s="235"/>
      <c r="S23" s="235"/>
    </row>
    <row r="24" spans="1:19" x14ac:dyDescent="0.2">
      <c r="A24" s="235"/>
      <c r="B24" s="235"/>
      <c r="C24" s="236"/>
      <c r="D24" s="236"/>
      <c r="E24" s="236"/>
      <c r="F24" s="236"/>
      <c r="G24" s="236"/>
      <c r="H24" s="236"/>
      <c r="I24" s="235"/>
      <c r="J24" s="235"/>
      <c r="K24" s="235"/>
      <c r="L24" s="235"/>
      <c r="M24" s="235"/>
      <c r="N24" s="235"/>
      <c r="O24" s="235"/>
      <c r="P24" s="235"/>
      <c r="Q24" s="235"/>
      <c r="R24" s="235"/>
      <c r="S24" s="235"/>
    </row>
    <row r="25" spans="1:19" x14ac:dyDescent="0.2">
      <c r="A25" s="235"/>
      <c r="B25" s="235"/>
      <c r="C25" s="236"/>
      <c r="D25" s="236"/>
      <c r="E25" s="236"/>
      <c r="F25" s="236"/>
      <c r="G25" s="236"/>
      <c r="H25" s="236"/>
      <c r="I25" s="235"/>
      <c r="J25" s="235"/>
      <c r="K25" s="235"/>
      <c r="L25" s="235"/>
      <c r="M25" s="235"/>
      <c r="N25" s="235"/>
      <c r="O25" s="235"/>
      <c r="P25" s="235"/>
      <c r="Q25" s="235"/>
      <c r="R25" s="235"/>
      <c r="S25" s="235"/>
    </row>
    <row r="26" spans="1:19" x14ac:dyDescent="0.2">
      <c r="A26" s="235"/>
      <c r="B26" s="235"/>
      <c r="C26" s="236"/>
      <c r="D26" s="236"/>
      <c r="E26" s="236"/>
      <c r="F26" s="236"/>
      <c r="G26" s="236"/>
      <c r="H26" s="236"/>
      <c r="I26" s="235"/>
      <c r="J26" s="235"/>
      <c r="K26" s="235"/>
      <c r="L26" s="235"/>
      <c r="M26" s="235"/>
      <c r="N26" s="235"/>
      <c r="O26" s="235"/>
      <c r="P26" s="235"/>
      <c r="Q26" s="235"/>
      <c r="R26" s="235"/>
      <c r="S26" s="235"/>
    </row>
    <row r="27" spans="1:19" x14ac:dyDescent="0.2">
      <c r="A27" s="235"/>
      <c r="B27" s="235"/>
      <c r="C27" s="236"/>
      <c r="D27" s="236"/>
      <c r="E27" s="236"/>
      <c r="F27" s="236"/>
      <c r="G27" s="236"/>
      <c r="H27" s="236"/>
      <c r="I27" s="235"/>
      <c r="J27" s="235"/>
      <c r="K27" s="235"/>
      <c r="L27" s="235"/>
      <c r="M27" s="235"/>
      <c r="N27" s="235"/>
      <c r="O27" s="235"/>
      <c r="P27" s="235"/>
      <c r="Q27" s="235"/>
      <c r="R27" s="235"/>
      <c r="S27" s="235"/>
    </row>
    <row r="28" spans="1:19" x14ac:dyDescent="0.2">
      <c r="A28" s="235"/>
      <c r="B28" s="235"/>
      <c r="C28" s="236"/>
      <c r="D28" s="236"/>
      <c r="E28" s="236"/>
      <c r="F28" s="236"/>
      <c r="G28" s="236"/>
      <c r="H28" s="236"/>
      <c r="I28" s="235"/>
      <c r="J28" s="235"/>
      <c r="K28" s="235"/>
      <c r="L28" s="235"/>
      <c r="M28" s="235"/>
      <c r="N28" s="235"/>
      <c r="O28" s="235"/>
      <c r="P28" s="235"/>
      <c r="Q28" s="235"/>
      <c r="R28" s="235"/>
      <c r="S28" s="235"/>
    </row>
    <row r="29" spans="1:19" x14ac:dyDescent="0.2">
      <c r="A29" s="235"/>
      <c r="B29" s="235"/>
      <c r="C29" s="236"/>
      <c r="D29" s="236"/>
      <c r="E29" s="236"/>
      <c r="F29" s="236"/>
      <c r="G29" s="236"/>
      <c r="H29" s="236"/>
      <c r="I29" s="235"/>
      <c r="J29" s="235"/>
      <c r="K29" s="235"/>
      <c r="L29" s="235"/>
      <c r="M29" s="235"/>
      <c r="N29" s="235"/>
      <c r="O29" s="235"/>
      <c r="P29" s="235"/>
      <c r="Q29" s="235"/>
      <c r="R29" s="235"/>
      <c r="S29" s="235"/>
    </row>
    <row r="30" spans="1:19" x14ac:dyDescent="0.2">
      <c r="A30" s="235"/>
      <c r="B30" s="235"/>
      <c r="C30" s="236"/>
      <c r="D30" s="236"/>
      <c r="E30" s="236"/>
      <c r="F30" s="236"/>
      <c r="G30" s="236"/>
      <c r="H30" s="236"/>
      <c r="I30" s="235"/>
      <c r="J30" s="235"/>
      <c r="K30" s="235"/>
      <c r="L30" s="235"/>
      <c r="M30" s="235"/>
      <c r="N30" s="235"/>
      <c r="O30" s="235"/>
      <c r="P30" s="235"/>
      <c r="Q30" s="235"/>
      <c r="R30" s="235"/>
      <c r="S30" s="235"/>
    </row>
    <row r="31" spans="1:19" x14ac:dyDescent="0.2">
      <c r="A31" s="235"/>
      <c r="B31" s="235"/>
      <c r="C31" s="236"/>
      <c r="D31" s="236"/>
      <c r="E31" s="236"/>
      <c r="F31" s="236"/>
      <c r="G31" s="236"/>
      <c r="H31" s="236"/>
      <c r="I31" s="235"/>
      <c r="J31" s="235"/>
      <c r="K31" s="235"/>
      <c r="L31" s="235"/>
      <c r="M31" s="235"/>
      <c r="N31" s="235"/>
      <c r="O31" s="235"/>
      <c r="P31" s="235"/>
      <c r="Q31" s="235"/>
      <c r="R31" s="235"/>
      <c r="S31" s="235"/>
    </row>
    <row r="32" spans="1:19" x14ac:dyDescent="0.2">
      <c r="A32" s="235"/>
      <c r="B32" s="235"/>
      <c r="C32" s="236"/>
      <c r="D32" s="236"/>
      <c r="E32" s="236"/>
      <c r="F32" s="236"/>
      <c r="G32" s="236"/>
      <c r="H32" s="236"/>
      <c r="I32" s="235"/>
      <c r="J32" s="235"/>
      <c r="K32" s="235"/>
      <c r="L32" s="235"/>
      <c r="M32" s="235"/>
      <c r="N32" s="235"/>
      <c r="O32" s="235"/>
      <c r="P32" s="235"/>
      <c r="Q32" s="235"/>
      <c r="R32" s="235"/>
      <c r="S32" s="235"/>
    </row>
    <row r="33" spans="1:19" x14ac:dyDescent="0.2">
      <c r="A33" s="235"/>
      <c r="B33" s="235"/>
      <c r="C33" s="236"/>
      <c r="D33" s="236"/>
      <c r="E33" s="236"/>
      <c r="F33" s="236"/>
      <c r="G33" s="236"/>
      <c r="H33" s="236"/>
      <c r="I33" s="235"/>
      <c r="J33" s="235"/>
      <c r="K33" s="235"/>
      <c r="L33" s="235"/>
      <c r="M33" s="235"/>
      <c r="N33" s="235"/>
      <c r="O33" s="235"/>
      <c r="P33" s="235"/>
      <c r="Q33" s="235"/>
      <c r="R33" s="235"/>
      <c r="S33" s="235"/>
    </row>
    <row r="34" spans="1:19" x14ac:dyDescent="0.2">
      <c r="A34" s="235"/>
      <c r="B34" s="235"/>
      <c r="C34" s="236"/>
      <c r="D34" s="236"/>
      <c r="E34" s="236"/>
      <c r="F34" s="236"/>
      <c r="G34" s="236"/>
      <c r="H34" s="236"/>
      <c r="I34" s="235"/>
      <c r="J34" s="235"/>
      <c r="K34" s="235"/>
      <c r="L34" s="235"/>
      <c r="M34" s="235"/>
      <c r="N34" s="235"/>
      <c r="O34" s="235"/>
      <c r="P34" s="235"/>
      <c r="Q34" s="235"/>
      <c r="R34" s="235"/>
      <c r="S34" s="235"/>
    </row>
    <row r="35" spans="1:19" x14ac:dyDescent="0.2">
      <c r="A35" s="235"/>
      <c r="B35" s="235"/>
      <c r="C35" s="236"/>
      <c r="D35" s="236"/>
      <c r="E35" s="236"/>
      <c r="F35" s="236"/>
      <c r="G35" s="236"/>
      <c r="H35" s="236"/>
      <c r="I35" s="235"/>
      <c r="J35" s="235"/>
      <c r="K35" s="235"/>
      <c r="L35" s="235"/>
      <c r="M35" s="235"/>
      <c r="N35" s="235"/>
      <c r="O35" s="235"/>
      <c r="P35" s="235"/>
      <c r="Q35" s="235"/>
      <c r="R35" s="235"/>
      <c r="S35" s="235"/>
    </row>
    <row r="36" spans="1:19" x14ac:dyDescent="0.2">
      <c r="A36" s="235"/>
      <c r="B36" s="235"/>
      <c r="C36" s="236"/>
      <c r="D36" s="236"/>
      <c r="E36" s="236"/>
      <c r="F36" s="236"/>
      <c r="G36" s="236"/>
      <c r="H36" s="236"/>
      <c r="I36" s="235"/>
      <c r="J36" s="235"/>
      <c r="K36" s="235"/>
      <c r="L36" s="235"/>
      <c r="M36" s="235"/>
      <c r="N36" s="235"/>
      <c r="O36" s="235"/>
      <c r="P36" s="235"/>
      <c r="Q36" s="235"/>
      <c r="R36" s="235"/>
      <c r="S36" s="235"/>
    </row>
    <row r="37" spans="1:19" x14ac:dyDescent="0.2">
      <c r="A37" s="235"/>
      <c r="B37" s="235"/>
      <c r="C37" s="236"/>
      <c r="D37" s="236"/>
      <c r="E37" s="236"/>
      <c r="F37" s="236"/>
      <c r="G37" s="236"/>
      <c r="H37" s="236"/>
      <c r="I37" s="235"/>
      <c r="J37" s="235"/>
      <c r="K37" s="235"/>
      <c r="L37" s="235"/>
      <c r="M37" s="235"/>
      <c r="N37" s="235"/>
      <c r="O37" s="235"/>
      <c r="P37" s="235"/>
      <c r="Q37" s="235"/>
      <c r="R37" s="235"/>
      <c r="S37" s="235"/>
    </row>
    <row r="38" spans="1:19" x14ac:dyDescent="0.2">
      <c r="A38" s="235"/>
      <c r="B38" s="235"/>
      <c r="C38" s="236"/>
      <c r="D38" s="236"/>
      <c r="E38" s="236"/>
      <c r="F38" s="236"/>
      <c r="G38" s="236"/>
      <c r="H38" s="236"/>
      <c r="I38" s="235"/>
      <c r="J38" s="235"/>
      <c r="K38" s="235"/>
      <c r="L38" s="235"/>
      <c r="M38" s="235"/>
      <c r="N38" s="235"/>
      <c r="O38" s="235"/>
      <c r="P38" s="235"/>
      <c r="Q38" s="235"/>
      <c r="R38" s="235"/>
      <c r="S38" s="235"/>
    </row>
    <row r="39" spans="1:19" x14ac:dyDescent="0.2">
      <c r="A39" s="235"/>
      <c r="B39" s="235"/>
      <c r="C39" s="236"/>
      <c r="D39" s="236"/>
      <c r="E39" s="236"/>
      <c r="F39" s="236"/>
      <c r="G39" s="236"/>
      <c r="H39" s="236"/>
      <c r="I39" s="235"/>
      <c r="J39" s="235"/>
      <c r="K39" s="235"/>
      <c r="L39" s="235"/>
      <c r="M39" s="235"/>
      <c r="N39" s="235"/>
      <c r="O39" s="235"/>
      <c r="P39" s="235"/>
      <c r="Q39" s="235"/>
      <c r="R39" s="235"/>
      <c r="S39" s="235"/>
    </row>
    <row r="40" spans="1:19" x14ac:dyDescent="0.2">
      <c r="A40" s="235"/>
      <c r="B40" s="235"/>
      <c r="C40" s="236"/>
      <c r="D40" s="236"/>
      <c r="E40" s="236"/>
      <c r="F40" s="236"/>
      <c r="G40" s="236"/>
      <c r="H40" s="236"/>
      <c r="I40" s="235"/>
      <c r="J40" s="235"/>
      <c r="K40" s="235"/>
      <c r="L40" s="235"/>
      <c r="M40" s="235"/>
      <c r="N40" s="235"/>
      <c r="O40" s="235"/>
      <c r="P40" s="235"/>
      <c r="Q40" s="235"/>
      <c r="R40" s="235"/>
      <c r="S40" s="235"/>
    </row>
    <row r="41" spans="1:19" x14ac:dyDescent="0.2">
      <c r="A41" s="235"/>
      <c r="B41" s="235"/>
      <c r="C41" s="236"/>
      <c r="D41" s="236"/>
      <c r="E41" s="236"/>
      <c r="F41" s="236"/>
      <c r="G41" s="236"/>
      <c r="H41" s="236"/>
      <c r="I41" s="235"/>
      <c r="J41" s="235"/>
      <c r="K41" s="235"/>
      <c r="L41" s="235"/>
      <c r="M41" s="235"/>
      <c r="N41" s="235"/>
      <c r="O41" s="235"/>
      <c r="P41" s="235"/>
      <c r="Q41" s="235"/>
      <c r="R41" s="235"/>
      <c r="S41" s="235"/>
    </row>
    <row r="42" spans="1:19" x14ac:dyDescent="0.2">
      <c r="A42" s="235"/>
      <c r="B42" s="235"/>
      <c r="C42" s="236"/>
      <c r="D42" s="236"/>
      <c r="E42" s="236"/>
      <c r="F42" s="236"/>
      <c r="G42" s="236"/>
      <c r="H42" s="236"/>
      <c r="I42" s="235"/>
      <c r="J42" s="235"/>
      <c r="K42" s="235"/>
      <c r="L42" s="235"/>
      <c r="M42" s="235"/>
      <c r="N42" s="235"/>
      <c r="O42" s="235"/>
      <c r="P42" s="235"/>
      <c r="Q42" s="235"/>
      <c r="R42" s="235"/>
      <c r="S42" s="235"/>
    </row>
    <row r="43" spans="1:19" x14ac:dyDescent="0.2">
      <c r="A43" s="235"/>
      <c r="B43" s="235"/>
      <c r="C43" s="236"/>
      <c r="D43" s="236"/>
      <c r="E43" s="236"/>
      <c r="F43" s="236"/>
      <c r="G43" s="236"/>
      <c r="H43" s="236"/>
      <c r="I43" s="235"/>
      <c r="J43" s="235"/>
      <c r="K43" s="235"/>
      <c r="L43" s="235"/>
      <c r="M43" s="235"/>
      <c r="N43" s="235"/>
      <c r="O43" s="235"/>
      <c r="P43" s="235"/>
      <c r="Q43" s="235"/>
      <c r="R43" s="235"/>
      <c r="S43" s="235"/>
    </row>
    <row r="44" spans="1:19" x14ac:dyDescent="0.2">
      <c r="A44" s="235"/>
      <c r="B44" s="235"/>
      <c r="C44" s="236"/>
      <c r="D44" s="236"/>
      <c r="E44" s="236"/>
      <c r="F44" s="236"/>
      <c r="G44" s="236"/>
      <c r="H44" s="236"/>
      <c r="I44" s="235"/>
      <c r="J44" s="235"/>
      <c r="K44" s="235"/>
      <c r="L44" s="235"/>
      <c r="M44" s="235"/>
      <c r="N44" s="235"/>
      <c r="O44" s="235"/>
      <c r="P44" s="235"/>
      <c r="Q44" s="235"/>
      <c r="R44" s="235"/>
      <c r="S44" s="235"/>
    </row>
    <row r="45" spans="1:19" x14ac:dyDescent="0.2">
      <c r="A45" s="235"/>
      <c r="B45" s="235"/>
      <c r="C45" s="236"/>
      <c r="D45" s="236"/>
      <c r="E45" s="236"/>
      <c r="F45" s="236"/>
      <c r="G45" s="236"/>
      <c r="H45" s="236"/>
      <c r="I45" s="235"/>
      <c r="J45" s="235"/>
      <c r="K45" s="235"/>
      <c r="L45" s="235"/>
      <c r="M45" s="235"/>
      <c r="N45" s="235"/>
      <c r="O45" s="235"/>
      <c r="P45" s="235"/>
      <c r="Q45" s="235"/>
      <c r="R45" s="235"/>
      <c r="S45" s="235"/>
    </row>
    <row r="46" spans="1:19" x14ac:dyDescent="0.2">
      <c r="A46" s="235"/>
      <c r="B46" s="235"/>
      <c r="C46" s="236"/>
      <c r="D46" s="236"/>
      <c r="E46" s="236"/>
      <c r="F46" s="236"/>
      <c r="G46" s="236"/>
      <c r="H46" s="236"/>
      <c r="I46" s="235"/>
      <c r="J46" s="235"/>
      <c r="K46" s="235"/>
      <c r="L46" s="235"/>
      <c r="M46" s="235"/>
      <c r="N46" s="235"/>
      <c r="O46" s="235"/>
      <c r="P46" s="235"/>
      <c r="Q46" s="235"/>
      <c r="R46" s="235"/>
      <c r="S46" s="235"/>
    </row>
    <row r="47" spans="1:19" x14ac:dyDescent="0.2">
      <c r="A47" s="235"/>
      <c r="B47" s="235"/>
      <c r="C47" s="236"/>
      <c r="D47" s="236"/>
      <c r="E47" s="236"/>
      <c r="F47" s="236"/>
      <c r="G47" s="236"/>
      <c r="H47" s="236"/>
      <c r="I47" s="235"/>
      <c r="J47" s="235"/>
      <c r="K47" s="235"/>
      <c r="L47" s="235"/>
      <c r="M47" s="235"/>
      <c r="N47" s="235"/>
      <c r="O47" s="235"/>
      <c r="P47" s="235"/>
      <c r="Q47" s="235"/>
      <c r="R47" s="235"/>
      <c r="S47" s="235"/>
    </row>
    <row r="48" spans="1:19" x14ac:dyDescent="0.2">
      <c r="A48" s="235"/>
      <c r="B48" s="235"/>
      <c r="C48" s="236"/>
      <c r="D48" s="236"/>
      <c r="E48" s="236"/>
      <c r="F48" s="236"/>
      <c r="G48" s="236"/>
      <c r="H48" s="236"/>
      <c r="I48" s="235"/>
      <c r="J48" s="235"/>
      <c r="K48" s="235"/>
      <c r="L48" s="235"/>
      <c r="M48" s="235"/>
      <c r="N48" s="235"/>
      <c r="O48" s="235"/>
      <c r="P48" s="235"/>
      <c r="Q48" s="235"/>
      <c r="R48" s="235"/>
      <c r="S48" s="235"/>
    </row>
    <row r="49" spans="1:19" x14ac:dyDescent="0.2">
      <c r="A49" s="235"/>
      <c r="B49" s="235"/>
      <c r="C49" s="236"/>
      <c r="D49" s="236"/>
      <c r="E49" s="236"/>
      <c r="F49" s="236"/>
      <c r="G49" s="236"/>
      <c r="H49" s="236"/>
      <c r="I49" s="235"/>
      <c r="J49" s="235"/>
      <c r="K49" s="235"/>
      <c r="L49" s="235"/>
      <c r="M49" s="235"/>
      <c r="N49" s="235"/>
      <c r="O49" s="235"/>
      <c r="P49" s="235"/>
      <c r="Q49" s="235"/>
      <c r="R49" s="235"/>
      <c r="S49" s="235"/>
    </row>
    <row r="50" spans="1:19" x14ac:dyDescent="0.2">
      <c r="A50" s="235"/>
      <c r="B50" s="235"/>
      <c r="C50" s="236"/>
      <c r="D50" s="236"/>
      <c r="E50" s="236"/>
      <c r="F50" s="236"/>
      <c r="G50" s="236"/>
      <c r="H50" s="236"/>
      <c r="I50" s="235"/>
      <c r="J50" s="235"/>
      <c r="K50" s="235"/>
      <c r="L50" s="235"/>
      <c r="M50" s="235"/>
      <c r="N50" s="235"/>
      <c r="O50" s="235"/>
      <c r="P50" s="235"/>
      <c r="Q50" s="235"/>
      <c r="R50" s="235"/>
      <c r="S50" s="235"/>
    </row>
    <row r="51" spans="1:19" x14ac:dyDescent="0.2">
      <c r="A51" s="235"/>
      <c r="B51" s="235"/>
      <c r="C51" s="236"/>
      <c r="D51" s="236"/>
      <c r="E51" s="236"/>
      <c r="F51" s="236"/>
      <c r="G51" s="236"/>
      <c r="H51" s="236"/>
      <c r="I51" s="235"/>
      <c r="J51" s="235"/>
      <c r="K51" s="235"/>
      <c r="L51" s="235"/>
      <c r="M51" s="235"/>
      <c r="N51" s="235"/>
      <c r="O51" s="235"/>
      <c r="P51" s="235"/>
      <c r="Q51" s="235"/>
      <c r="R51" s="235"/>
      <c r="S51" s="235"/>
    </row>
    <row r="52" spans="1:19" x14ac:dyDescent="0.2">
      <c r="A52" s="235"/>
      <c r="B52" s="235"/>
      <c r="C52" s="236"/>
      <c r="D52" s="236"/>
      <c r="E52" s="236"/>
      <c r="F52" s="236"/>
      <c r="G52" s="236"/>
      <c r="H52" s="236"/>
      <c r="I52" s="235"/>
      <c r="J52" s="235"/>
      <c r="K52" s="235"/>
      <c r="L52" s="235"/>
      <c r="M52" s="235"/>
      <c r="N52" s="235"/>
      <c r="O52" s="235"/>
      <c r="P52" s="235"/>
      <c r="Q52" s="235"/>
      <c r="R52" s="235"/>
      <c r="S52" s="235"/>
    </row>
    <row r="53" spans="1:19" x14ac:dyDescent="0.2">
      <c r="A53" s="235"/>
      <c r="B53" s="235"/>
      <c r="C53" s="236"/>
      <c r="D53" s="236"/>
      <c r="E53" s="236"/>
      <c r="F53" s="236"/>
      <c r="G53" s="236"/>
      <c r="H53" s="236"/>
      <c r="I53" s="235"/>
      <c r="J53" s="235"/>
      <c r="K53" s="235"/>
      <c r="L53" s="235"/>
      <c r="M53" s="235"/>
      <c r="N53" s="235"/>
      <c r="O53" s="235"/>
      <c r="P53" s="235"/>
      <c r="Q53" s="235"/>
      <c r="R53" s="235"/>
      <c r="S53" s="235"/>
    </row>
  </sheetData>
  <sheetProtection selectLockedCells="1"/>
  <conditionalFormatting sqref="J4:J18">
    <cfRule type="cellIs" dxfId="161" priority="6" operator="equal">
      <formula>"Abnormal"</formula>
    </cfRule>
    <cfRule type="cellIs" dxfId="160" priority="7" operator="equal">
      <formula>"N/A"</formula>
    </cfRule>
    <cfRule type="containsText" dxfId="159" priority="8" operator="containsText" text="No">
      <formula>NOT(ISERROR(SEARCH("No",J4)))</formula>
    </cfRule>
  </conditionalFormatting>
  <conditionalFormatting sqref="A18:B18">
    <cfRule type="expression" dxfId="158" priority="5">
      <formula>$J$18="Abnormal"</formula>
    </cfRule>
  </conditionalFormatting>
  <conditionalFormatting sqref="A4:B18">
    <cfRule type="expression" dxfId="157" priority="4">
      <formula>$J4="Abnormal"</formula>
    </cfRule>
  </conditionalFormatting>
  <conditionalFormatting sqref="I4:I18">
    <cfRule type="cellIs" dxfId="156" priority="1" operator="equal">
      <formula>"Normal"</formula>
    </cfRule>
    <cfRule type="cellIs" dxfId="155" priority="2" operator="equal">
      <formula>"Reliable Difference"</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296B8-A120-4D6A-96BC-53AC1131D2DA}">
  <sheetPr>
    <tabColor theme="5" tint="0.39997558519241921"/>
  </sheetPr>
  <dimension ref="A1:Y80"/>
  <sheetViews>
    <sheetView topLeftCell="L1" zoomScaleNormal="100" workbookViewId="0">
      <selection activeCell="I44" sqref="I44"/>
    </sheetView>
  </sheetViews>
  <sheetFormatPr baseColWidth="10" defaultColWidth="9.1640625" defaultRowHeight="14" x14ac:dyDescent="0.15"/>
  <cols>
    <col min="1" max="1" width="38" style="14" customWidth="1"/>
    <col min="2" max="9" width="19.5" style="14" customWidth="1"/>
    <col min="10" max="13" width="9.1640625" style="14"/>
    <col min="14" max="14" width="38.1640625" style="14" customWidth="1"/>
    <col min="15" max="22" width="18.6640625" style="14" customWidth="1"/>
    <col min="23" max="16384" width="9.1640625" style="14"/>
  </cols>
  <sheetData>
    <row r="1" spans="1:25" x14ac:dyDescent="0.15">
      <c r="A1" s="75" t="s">
        <v>685</v>
      </c>
      <c r="B1" s="76"/>
      <c r="C1" s="76"/>
      <c r="D1" s="76"/>
      <c r="E1" s="76"/>
      <c r="F1" s="446" t="s">
        <v>479</v>
      </c>
      <c r="G1" s="76"/>
      <c r="H1" s="76"/>
      <c r="I1" s="76"/>
      <c r="J1" s="76"/>
      <c r="K1" s="76"/>
      <c r="L1" s="64"/>
      <c r="M1" s="64"/>
      <c r="N1" s="324" t="s">
        <v>452</v>
      </c>
      <c r="O1" s="67">
        <f>IF(B5&lt;12,1,IF(B5=12,2,IF(AND(B5&gt;12,B5&lt;16),3,4)))</f>
        <v>1</v>
      </c>
      <c r="P1" s="484" t="s">
        <v>484</v>
      </c>
      <c r="Q1" s="485"/>
      <c r="R1" s="67">
        <f>IF(B4=0,1,0)</f>
        <v>0</v>
      </c>
      <c r="S1" s="64"/>
      <c r="T1" s="64"/>
      <c r="U1" s="64"/>
      <c r="V1" s="64"/>
      <c r="W1" s="64"/>
      <c r="X1" s="64"/>
      <c r="Y1" s="64"/>
    </row>
    <row r="2" spans="1:25" x14ac:dyDescent="0.15">
      <c r="A2" s="76"/>
      <c r="B2" s="76"/>
      <c r="C2" s="76"/>
      <c r="D2" s="76"/>
      <c r="E2" s="76"/>
      <c r="F2" s="76"/>
      <c r="G2" s="76"/>
      <c r="H2" s="76"/>
      <c r="I2" s="76"/>
      <c r="J2" s="76"/>
      <c r="K2" s="76"/>
      <c r="L2" s="64"/>
      <c r="M2" s="64"/>
      <c r="N2" s="324" t="s">
        <v>451</v>
      </c>
      <c r="O2" s="331">
        <f>IF(F4="Caucasian",1,0)</f>
        <v>1</v>
      </c>
      <c r="P2" s="64"/>
      <c r="Q2" s="64"/>
      <c r="R2" s="64"/>
      <c r="S2" s="64"/>
      <c r="T2" s="64"/>
      <c r="U2" s="64"/>
      <c r="V2" s="64"/>
      <c r="W2" s="64"/>
      <c r="X2" s="64"/>
      <c r="Y2" s="64"/>
    </row>
    <row r="3" spans="1:25" x14ac:dyDescent="0.15">
      <c r="A3" s="95" t="s">
        <v>0</v>
      </c>
      <c r="B3" s="96">
        <f>'Standard Tests'!D1</f>
        <v>67</v>
      </c>
      <c r="C3" s="76"/>
      <c r="D3" s="76" t="s">
        <v>480</v>
      </c>
      <c r="E3" s="76"/>
      <c r="F3" s="424">
        <v>44334</v>
      </c>
      <c r="G3" s="76"/>
      <c r="H3" s="76"/>
      <c r="I3" s="76"/>
      <c r="J3" s="76"/>
      <c r="K3" s="76"/>
      <c r="L3" s="64"/>
      <c r="M3" s="64"/>
      <c r="N3" s="324" t="s">
        <v>453</v>
      </c>
      <c r="O3" s="442">
        <f>F3</f>
        <v>44334</v>
      </c>
      <c r="P3" s="64"/>
      <c r="Q3" s="64"/>
      <c r="R3" s="64"/>
      <c r="S3" s="64"/>
      <c r="T3" s="64"/>
      <c r="U3" s="64"/>
      <c r="V3" s="64"/>
      <c r="W3" s="64"/>
      <c r="X3" s="64"/>
      <c r="Y3" s="64"/>
    </row>
    <row r="4" spans="1:25" x14ac:dyDescent="0.15">
      <c r="A4" s="95" t="s">
        <v>182</v>
      </c>
      <c r="B4" s="96">
        <f>IF(TOPF!E10="Male",0,1)</f>
        <v>1</v>
      </c>
      <c r="C4" s="99" t="s">
        <v>201</v>
      </c>
      <c r="D4" s="76" t="s">
        <v>457</v>
      </c>
      <c r="E4" s="76"/>
      <c r="F4" s="67" t="str">
        <f>'Front Page &amp; Raw Test Scores'!D23</f>
        <v>Caucasian</v>
      </c>
      <c r="G4" s="99"/>
      <c r="H4" s="76"/>
      <c r="I4" s="76"/>
      <c r="J4" s="76"/>
      <c r="K4" s="76"/>
      <c r="L4" s="64"/>
      <c r="M4" s="64"/>
      <c r="N4" s="324" t="s">
        <v>454</v>
      </c>
      <c r="O4" s="442">
        <f>'Standard Tests'!D3</f>
        <v>44690</v>
      </c>
      <c r="P4" s="64"/>
      <c r="Q4" s="64"/>
      <c r="R4" s="64"/>
      <c r="S4" s="64"/>
      <c r="T4" s="64"/>
      <c r="U4" s="64"/>
      <c r="V4" s="64"/>
      <c r="W4" s="64"/>
      <c r="X4" s="64"/>
      <c r="Y4" s="64"/>
    </row>
    <row r="5" spans="1:25" x14ac:dyDescent="0.15">
      <c r="A5" s="95" t="s">
        <v>202</v>
      </c>
      <c r="B5" s="96">
        <f>'Standard Tests'!D2</f>
        <v>10</v>
      </c>
      <c r="C5" s="76"/>
      <c r="D5" s="76"/>
      <c r="E5" s="76"/>
      <c r="F5" s="446" t="s">
        <v>481</v>
      </c>
      <c r="G5" s="76"/>
      <c r="H5" s="76"/>
      <c r="I5" s="76"/>
      <c r="J5" s="76"/>
      <c r="K5" s="76"/>
      <c r="L5" s="64"/>
      <c r="M5" s="64"/>
      <c r="N5" s="436" t="s">
        <v>455</v>
      </c>
      <c r="O5" s="443">
        <f>DATEDIF(O3,O4,"d")</f>
        <v>356</v>
      </c>
      <c r="P5" s="64"/>
      <c r="Q5" s="64"/>
      <c r="R5" s="64"/>
      <c r="S5" s="64"/>
      <c r="T5" s="64"/>
      <c r="U5" s="64"/>
      <c r="V5" s="64"/>
      <c r="W5" s="64"/>
      <c r="X5" s="64"/>
      <c r="Y5" s="64"/>
    </row>
    <row r="6" spans="1:25" x14ac:dyDescent="0.15">
      <c r="A6" s="76"/>
      <c r="B6" s="76"/>
      <c r="C6" s="76"/>
      <c r="D6" s="76"/>
      <c r="E6" s="76"/>
      <c r="F6" s="76"/>
      <c r="G6" s="76"/>
      <c r="H6" s="76"/>
      <c r="I6" s="76"/>
      <c r="J6" s="76"/>
      <c r="K6" s="76"/>
      <c r="L6" s="64"/>
      <c r="M6" s="64"/>
      <c r="N6" s="64"/>
      <c r="O6" s="64"/>
      <c r="P6" s="64"/>
      <c r="Q6" s="64"/>
      <c r="R6" s="64"/>
      <c r="S6" s="64"/>
      <c r="T6" s="64"/>
      <c r="U6" s="64"/>
      <c r="V6" s="64"/>
      <c r="W6" s="64"/>
      <c r="X6" s="64"/>
      <c r="Y6" s="64"/>
    </row>
    <row r="7" spans="1:25" ht="19" thickBot="1" x14ac:dyDescent="0.25">
      <c r="A7" s="224" t="s">
        <v>686</v>
      </c>
      <c r="B7" s="76"/>
      <c r="C7" s="76"/>
      <c r="D7" s="76"/>
      <c r="E7" s="76"/>
      <c r="F7" s="76"/>
      <c r="G7" s="76"/>
      <c r="H7" s="76"/>
      <c r="I7" s="76"/>
      <c r="J7" s="76"/>
      <c r="K7" s="76"/>
      <c r="L7" s="64"/>
      <c r="M7" s="64"/>
      <c r="N7" s="437" t="s">
        <v>329</v>
      </c>
      <c r="O7" s="64"/>
      <c r="P7" s="64"/>
      <c r="Q7" s="64"/>
      <c r="R7" s="64"/>
      <c r="S7" s="64"/>
      <c r="T7" s="64"/>
      <c r="U7" s="64"/>
      <c r="V7" s="64"/>
      <c r="W7" s="64"/>
      <c r="X7" s="64"/>
      <c r="Y7" s="64"/>
    </row>
    <row r="8" spans="1:25" x14ac:dyDescent="0.15">
      <c r="A8" s="158" t="s">
        <v>2</v>
      </c>
      <c r="B8" s="159" t="s">
        <v>160</v>
      </c>
      <c r="C8" s="160" t="s">
        <v>204</v>
      </c>
      <c r="D8" s="160"/>
      <c r="E8" s="161" t="s">
        <v>320</v>
      </c>
      <c r="F8" s="162" t="s">
        <v>321</v>
      </c>
      <c r="G8" s="76"/>
      <c r="H8" s="76"/>
      <c r="I8" s="76"/>
      <c r="J8" s="76"/>
      <c r="K8" s="76"/>
      <c r="L8" s="64"/>
      <c r="M8" s="64"/>
      <c r="N8" s="158" t="s">
        <v>2</v>
      </c>
      <c r="O8" s="462" t="s">
        <v>160</v>
      </c>
      <c r="P8" s="444" t="s">
        <v>204</v>
      </c>
      <c r="Q8" s="168"/>
      <c r="R8" s="467" t="s">
        <v>320</v>
      </c>
      <c r="S8" s="472" t="s">
        <v>321</v>
      </c>
      <c r="T8" s="64"/>
      <c r="U8" s="64"/>
      <c r="V8" s="64"/>
      <c r="W8" s="64"/>
      <c r="X8" s="64"/>
      <c r="Y8" s="64"/>
    </row>
    <row r="9" spans="1:25" ht="15" thickBot="1" x14ac:dyDescent="0.2">
      <c r="A9" s="163"/>
      <c r="B9" s="164" t="s">
        <v>316</v>
      </c>
      <c r="C9" s="164" t="s">
        <v>207</v>
      </c>
      <c r="D9" s="164" t="s">
        <v>319</v>
      </c>
      <c r="E9" s="165" t="s">
        <v>317</v>
      </c>
      <c r="F9" s="166" t="s">
        <v>317</v>
      </c>
      <c r="G9" s="99"/>
      <c r="H9" s="76"/>
      <c r="I9" s="76"/>
      <c r="J9" s="76"/>
      <c r="K9" s="76"/>
      <c r="L9" s="64"/>
      <c r="M9" s="64"/>
      <c r="N9" s="461"/>
      <c r="O9" s="463" t="s">
        <v>316</v>
      </c>
      <c r="P9" s="466" t="s">
        <v>207</v>
      </c>
      <c r="Q9" s="463" t="s">
        <v>319</v>
      </c>
      <c r="R9" s="468" t="s">
        <v>317</v>
      </c>
      <c r="S9" s="473" t="s">
        <v>317</v>
      </c>
      <c r="T9" s="64"/>
      <c r="U9" s="64"/>
      <c r="V9" s="64"/>
      <c r="W9" s="64"/>
      <c r="X9" s="64"/>
      <c r="Y9" s="64"/>
    </row>
    <row r="10" spans="1:25" ht="17" x14ac:dyDescent="0.15">
      <c r="A10" s="167" t="s">
        <v>24</v>
      </c>
      <c r="B10" s="168">
        <f>'Standard Tests'!B23</f>
        <v>109</v>
      </c>
      <c r="C10" s="457">
        <f>78.98+(B10*0.59)-(B3*0.37)</f>
        <v>118.50000000000003</v>
      </c>
      <c r="D10" s="170">
        <v>10.89</v>
      </c>
      <c r="E10" s="171">
        <f t="shared" ref="E10:E15" si="0">(D10*1.645)+C10</f>
        <v>136.41405000000003</v>
      </c>
      <c r="F10" s="172">
        <f t="shared" ref="F10:F15" si="1">C10+(D10*-1.645)</f>
        <v>100.58595000000003</v>
      </c>
      <c r="G10" s="76"/>
      <c r="H10" s="76"/>
      <c r="I10" s="76"/>
      <c r="J10" s="76"/>
      <c r="K10" s="76"/>
      <c r="L10" s="64"/>
      <c r="M10" s="64"/>
      <c r="N10" s="417" t="s">
        <v>24</v>
      </c>
      <c r="O10" s="168">
        <f>'Standard Tests'!B23</f>
        <v>109</v>
      </c>
      <c r="P10" s="460">
        <f>(O10*0.63)+($B$3*-0.37)+($O$1*2.58)+53.76</f>
        <v>100.22</v>
      </c>
      <c r="Q10" s="168">
        <v>11.08</v>
      </c>
      <c r="R10" s="469">
        <f t="shared" ref="R10:R15" si="2">(Q10*1.645)+P10</f>
        <v>118.4466</v>
      </c>
      <c r="S10" s="474">
        <f t="shared" ref="S10:S15" si="3">P10+(Q10*-1.645)</f>
        <v>81.993399999999994</v>
      </c>
      <c r="T10" s="64"/>
      <c r="U10" s="64"/>
      <c r="V10" s="64"/>
      <c r="W10" s="64"/>
      <c r="X10" s="64"/>
      <c r="Y10" s="64"/>
    </row>
    <row r="11" spans="1:25" ht="17" x14ac:dyDescent="0.15">
      <c r="A11" s="173" t="s">
        <v>25</v>
      </c>
      <c r="B11" s="174">
        <f>'Standard Tests'!B24</f>
        <v>50</v>
      </c>
      <c r="C11" s="458">
        <f>56.85+(B11*0.3)+(B3*0.12)+(B5*0.67)-(B4*7.41)</f>
        <v>79.179999999999993</v>
      </c>
      <c r="D11" s="176">
        <v>14.03</v>
      </c>
      <c r="E11" s="177">
        <f t="shared" si="0"/>
        <v>102.25934999999998</v>
      </c>
      <c r="F11" s="178">
        <f t="shared" si="1"/>
        <v>56.100649999999995</v>
      </c>
      <c r="G11" s="76"/>
      <c r="H11" s="76"/>
      <c r="I11" s="76"/>
      <c r="J11" s="76"/>
      <c r="K11" s="76"/>
      <c r="L11" s="64"/>
      <c r="M11" s="64"/>
      <c r="N11" s="173" t="s">
        <v>25</v>
      </c>
      <c r="O11" s="464">
        <f>'Standard Tests'!B24</f>
        <v>50</v>
      </c>
      <c r="P11" s="458">
        <f>(O11*0.57)+($O$1*2.81)+35.89</f>
        <v>67.199999999999989</v>
      </c>
      <c r="Q11" s="464">
        <v>12.5</v>
      </c>
      <c r="R11" s="470">
        <f t="shared" si="2"/>
        <v>87.762499999999989</v>
      </c>
      <c r="S11" s="475">
        <f t="shared" si="3"/>
        <v>46.637499999999989</v>
      </c>
      <c r="T11" s="64"/>
      <c r="U11" s="64"/>
      <c r="V11" s="64"/>
      <c r="W11" s="64"/>
      <c r="X11" s="64"/>
      <c r="Y11" s="64"/>
    </row>
    <row r="12" spans="1:25" ht="17" x14ac:dyDescent="0.15">
      <c r="A12" s="173" t="s">
        <v>26</v>
      </c>
      <c r="B12" s="174">
        <f>'Standard Tests'!B25</f>
        <v>60</v>
      </c>
      <c r="C12" s="458">
        <f>40.26+(B12*0.6)-(B3*0.11)+(B5*0.74)</f>
        <v>76.289999999999992</v>
      </c>
      <c r="D12" s="176">
        <v>9.84</v>
      </c>
      <c r="E12" s="177">
        <f t="shared" si="0"/>
        <v>92.476799999999997</v>
      </c>
      <c r="F12" s="178">
        <f t="shared" si="1"/>
        <v>60.103199999999987</v>
      </c>
      <c r="G12" s="99"/>
      <c r="H12" s="76"/>
      <c r="I12" s="76"/>
      <c r="J12" s="76"/>
      <c r="K12" s="76"/>
      <c r="L12" s="64"/>
      <c r="M12" s="64"/>
      <c r="N12" s="173" t="s">
        <v>26</v>
      </c>
      <c r="O12" s="464">
        <f>'Standard Tests'!B25</f>
        <v>60</v>
      </c>
      <c r="P12" s="458">
        <f>(O12*0.63)+35.28</f>
        <v>73.08</v>
      </c>
      <c r="Q12" s="464">
        <v>8.7899999999999991</v>
      </c>
      <c r="R12" s="470">
        <f t="shared" si="2"/>
        <v>87.539549999999991</v>
      </c>
      <c r="S12" s="475">
        <f t="shared" si="3"/>
        <v>58.620449999999998</v>
      </c>
      <c r="T12" s="64"/>
      <c r="U12" s="64"/>
      <c r="V12" s="64"/>
      <c r="W12" s="64"/>
      <c r="X12" s="64"/>
      <c r="Y12" s="64"/>
    </row>
    <row r="13" spans="1:25" ht="17" x14ac:dyDescent="0.15">
      <c r="A13" s="173" t="s">
        <v>27</v>
      </c>
      <c r="B13" s="174">
        <f>'Standard Tests'!B26</f>
        <v>64</v>
      </c>
      <c r="C13" s="458">
        <f>39.76 + (B13*0.63)</f>
        <v>80.08</v>
      </c>
      <c r="D13" s="176">
        <v>13.09</v>
      </c>
      <c r="E13" s="177">
        <f t="shared" si="0"/>
        <v>101.61305</v>
      </c>
      <c r="F13" s="178">
        <f t="shared" si="1"/>
        <v>58.546949999999995</v>
      </c>
      <c r="G13" s="76"/>
      <c r="H13" s="76"/>
      <c r="I13" s="76"/>
      <c r="J13" s="76"/>
      <c r="K13" s="76"/>
      <c r="L13" s="64"/>
      <c r="M13" s="64"/>
      <c r="N13" s="173" t="s">
        <v>27</v>
      </c>
      <c r="O13" s="464">
        <f>'Standard Tests'!B26</f>
        <v>64</v>
      </c>
      <c r="P13" s="458">
        <f>(O13*0.75)+(-0.3*$B$3)+(0.03*$O$5)+37.04</f>
        <v>75.62</v>
      </c>
      <c r="Q13" s="464">
        <v>9.65</v>
      </c>
      <c r="R13" s="470">
        <f t="shared" si="2"/>
        <v>91.494250000000008</v>
      </c>
      <c r="S13" s="475">
        <f t="shared" si="3"/>
        <v>59.745750000000001</v>
      </c>
      <c r="T13" s="64"/>
      <c r="U13" s="64"/>
      <c r="V13" s="64"/>
      <c r="W13" s="64"/>
      <c r="X13" s="64"/>
      <c r="Y13" s="64"/>
    </row>
    <row r="14" spans="1:25" ht="17" x14ac:dyDescent="0.15">
      <c r="A14" s="173" t="s">
        <v>209</v>
      </c>
      <c r="B14" s="174">
        <f>'Standard Tests'!B27</f>
        <v>75</v>
      </c>
      <c r="C14" s="458">
        <f>34.91+(B14*0.7)</f>
        <v>87.41</v>
      </c>
      <c r="D14" s="176">
        <v>10.86</v>
      </c>
      <c r="E14" s="177">
        <f t="shared" si="0"/>
        <v>105.2747</v>
      </c>
      <c r="F14" s="178">
        <f t="shared" si="1"/>
        <v>69.545299999999997</v>
      </c>
      <c r="G14" s="76"/>
      <c r="H14" s="76"/>
      <c r="I14" s="76"/>
      <c r="J14" s="76"/>
      <c r="K14" s="76"/>
      <c r="L14" s="64"/>
      <c r="M14" s="64"/>
      <c r="N14" s="173" t="s">
        <v>209</v>
      </c>
      <c r="O14" s="464">
        <f>'Standard Tests'!B27</f>
        <v>75</v>
      </c>
      <c r="P14" s="458">
        <f>(O14*0.71)+30.6</f>
        <v>83.85</v>
      </c>
      <c r="Q14" s="464">
        <v>11.46</v>
      </c>
      <c r="R14" s="470">
        <f t="shared" si="2"/>
        <v>102.70169999999999</v>
      </c>
      <c r="S14" s="475">
        <f t="shared" si="3"/>
        <v>64.9983</v>
      </c>
      <c r="T14" s="64"/>
      <c r="U14" s="64"/>
      <c r="V14" s="64"/>
      <c r="W14" s="64"/>
      <c r="X14" s="64"/>
      <c r="Y14" s="64"/>
    </row>
    <row r="15" spans="1:25" ht="18" thickBot="1" x14ac:dyDescent="0.2">
      <c r="A15" s="179" t="s">
        <v>210</v>
      </c>
      <c r="B15" s="180">
        <f>'Standard Tests'!B28</f>
        <v>64</v>
      </c>
      <c r="C15" s="459">
        <f>31.32+(B15*0.72)</f>
        <v>77.400000000000006</v>
      </c>
      <c r="D15" s="182">
        <v>11.79</v>
      </c>
      <c r="E15" s="183">
        <f t="shared" si="0"/>
        <v>96.794550000000001</v>
      </c>
      <c r="F15" s="184">
        <f t="shared" si="1"/>
        <v>58.00545000000001</v>
      </c>
      <c r="G15" s="99"/>
      <c r="H15" s="76"/>
      <c r="I15" s="76"/>
      <c r="J15" s="76"/>
      <c r="K15" s="76"/>
      <c r="L15" s="64"/>
      <c r="M15" s="64"/>
      <c r="N15" s="179" t="s">
        <v>210</v>
      </c>
      <c r="O15" s="465">
        <f>'Standard Tests'!B28</f>
        <v>64</v>
      </c>
      <c r="P15" s="459">
        <f>(O15*0.75)+(-0.23*$B$3)+(1.47*$O$1)+30.6</f>
        <v>64.66</v>
      </c>
      <c r="Q15" s="465">
        <v>7.81</v>
      </c>
      <c r="R15" s="471">
        <f t="shared" si="2"/>
        <v>77.507449999999992</v>
      </c>
      <c r="S15" s="476">
        <f t="shared" si="3"/>
        <v>51.812549999999995</v>
      </c>
      <c r="T15" s="64"/>
      <c r="U15" s="64"/>
      <c r="V15" s="64"/>
      <c r="W15" s="64"/>
      <c r="X15" s="64"/>
      <c r="Y15" s="64"/>
    </row>
    <row r="16" spans="1:25" x14ac:dyDescent="0.15">
      <c r="A16" s="197" t="s">
        <v>687</v>
      </c>
      <c r="B16" s="76"/>
      <c r="C16" s="76"/>
      <c r="D16" s="76"/>
      <c r="E16" s="76"/>
      <c r="F16" s="76"/>
      <c r="G16" s="76"/>
      <c r="H16" s="76"/>
      <c r="I16" s="76"/>
      <c r="J16" s="76"/>
      <c r="K16" s="76"/>
      <c r="L16" s="64"/>
      <c r="M16" s="64"/>
      <c r="N16" s="438" t="s">
        <v>448</v>
      </c>
      <c r="O16" s="64"/>
      <c r="P16" s="64"/>
      <c r="Q16" s="64"/>
      <c r="R16" s="64"/>
      <c r="S16" s="64"/>
      <c r="T16" s="64"/>
      <c r="U16" s="64"/>
      <c r="V16" s="64"/>
      <c r="W16" s="64"/>
      <c r="X16" s="64"/>
      <c r="Y16" s="64"/>
    </row>
    <row r="17" spans="1:25" x14ac:dyDescent="0.15">
      <c r="A17" s="197" t="s">
        <v>212</v>
      </c>
      <c r="B17" s="76"/>
      <c r="C17" s="76"/>
      <c r="D17" s="76"/>
      <c r="E17" s="76"/>
      <c r="F17" s="76"/>
      <c r="G17" s="76"/>
      <c r="H17" s="76"/>
      <c r="I17" s="76"/>
      <c r="J17" s="76"/>
      <c r="K17" s="76"/>
      <c r="L17" s="64"/>
      <c r="M17" s="64"/>
      <c r="N17" s="64"/>
      <c r="O17" s="64"/>
      <c r="P17" s="64"/>
      <c r="Q17" s="64"/>
      <c r="R17" s="64"/>
      <c r="S17" s="64"/>
      <c r="T17" s="64"/>
      <c r="U17" s="64"/>
      <c r="V17" s="64"/>
      <c r="W17" s="64"/>
      <c r="X17" s="64"/>
      <c r="Y17" s="64"/>
    </row>
    <row r="18" spans="1:25" x14ac:dyDescent="0.15">
      <c r="A18" s="76"/>
      <c r="B18" s="76"/>
      <c r="C18" s="76"/>
      <c r="D18" s="76"/>
      <c r="E18" s="76"/>
      <c r="F18" s="76"/>
      <c r="G18" s="76"/>
      <c r="H18" s="76"/>
      <c r="I18" s="76"/>
      <c r="J18" s="76"/>
      <c r="K18" s="76"/>
      <c r="L18" s="64"/>
      <c r="M18" s="64"/>
      <c r="N18" s="64"/>
      <c r="O18" s="64"/>
      <c r="P18" s="64"/>
      <c r="Q18" s="64"/>
      <c r="R18" s="64"/>
      <c r="S18" s="64"/>
      <c r="T18" s="64"/>
      <c r="U18" s="64"/>
      <c r="V18" s="64"/>
      <c r="W18" s="64"/>
      <c r="X18" s="64"/>
      <c r="Y18" s="64"/>
    </row>
    <row r="19" spans="1:25" x14ac:dyDescent="0.15">
      <c r="A19" s="76"/>
      <c r="B19" s="76"/>
      <c r="C19" s="76"/>
      <c r="D19" s="76"/>
      <c r="E19" s="76"/>
      <c r="F19" s="76"/>
      <c r="G19" s="76"/>
      <c r="H19" s="76"/>
      <c r="I19" s="76"/>
      <c r="J19" s="76"/>
      <c r="K19" s="76"/>
      <c r="L19" s="64"/>
      <c r="M19" s="64"/>
      <c r="N19" s="64"/>
      <c r="O19" s="64"/>
      <c r="P19" s="64"/>
      <c r="Q19" s="64"/>
      <c r="R19" s="64"/>
      <c r="S19" s="64"/>
      <c r="T19" s="64"/>
      <c r="U19" s="64"/>
      <c r="V19" s="64"/>
      <c r="W19" s="64"/>
      <c r="X19" s="64"/>
      <c r="Y19" s="64"/>
    </row>
    <row r="20" spans="1:25" ht="18" x14ac:dyDescent="0.2">
      <c r="A20" s="456" t="s">
        <v>384</v>
      </c>
      <c r="B20" s="878" t="s">
        <v>483</v>
      </c>
      <c r="C20" s="878"/>
      <c r="D20" s="76"/>
      <c r="E20" s="76"/>
      <c r="F20" s="76"/>
      <c r="G20" s="76"/>
      <c r="H20" s="76"/>
      <c r="I20" s="76"/>
      <c r="J20" s="76"/>
      <c r="K20" s="76"/>
      <c r="L20" s="64"/>
      <c r="M20" s="64"/>
      <c r="N20" s="64"/>
      <c r="O20" s="447" t="s">
        <v>482</v>
      </c>
      <c r="P20" s="64"/>
      <c r="Q20" s="64"/>
      <c r="R20" s="64"/>
      <c r="S20" s="64"/>
      <c r="T20" s="64"/>
      <c r="U20" s="64"/>
      <c r="V20" s="64"/>
      <c r="W20" s="64"/>
      <c r="X20" s="64"/>
      <c r="Y20" s="64"/>
    </row>
    <row r="21" spans="1:25" x14ac:dyDescent="0.15">
      <c r="A21" s="76"/>
      <c r="B21" s="76"/>
      <c r="C21" s="76"/>
      <c r="D21" s="76"/>
      <c r="E21" s="76"/>
      <c r="F21" s="76"/>
      <c r="G21" s="76"/>
      <c r="H21" s="76"/>
      <c r="I21" s="76"/>
      <c r="J21" s="76"/>
      <c r="K21" s="76"/>
      <c r="L21" s="64"/>
      <c r="M21" s="64"/>
      <c r="N21" s="64"/>
      <c r="O21" s="64"/>
      <c r="P21" s="64"/>
      <c r="Q21" s="64"/>
      <c r="R21" s="64"/>
      <c r="S21" s="64"/>
      <c r="T21" s="64"/>
      <c r="U21" s="64"/>
      <c r="V21" s="64"/>
      <c r="W21" s="64"/>
      <c r="X21" s="64"/>
      <c r="Y21" s="64"/>
    </row>
    <row r="22" spans="1:25" ht="19" thickBot="1" x14ac:dyDescent="0.25">
      <c r="A22" s="225" t="s">
        <v>322</v>
      </c>
      <c r="B22" s="76"/>
      <c r="C22" s="76"/>
      <c r="D22" s="76"/>
      <c r="E22" s="76"/>
      <c r="F22" s="76"/>
      <c r="G22" s="76"/>
      <c r="H22" s="76"/>
      <c r="I22" s="76"/>
      <c r="J22" s="76"/>
      <c r="K22" s="76"/>
      <c r="L22" s="64"/>
      <c r="M22" s="64"/>
      <c r="N22" s="439" t="s">
        <v>322</v>
      </c>
      <c r="O22" s="64"/>
      <c r="P22" s="64"/>
      <c r="Q22" s="64"/>
      <c r="R22" s="64"/>
      <c r="S22" s="64"/>
      <c r="T22" s="64"/>
      <c r="U22" s="64"/>
      <c r="V22" s="64"/>
      <c r="W22" s="64"/>
      <c r="X22" s="64"/>
      <c r="Y22" s="64"/>
    </row>
    <row r="23" spans="1:25" ht="15" thickBot="1" x14ac:dyDescent="0.2">
      <c r="A23" s="158" t="s">
        <v>2</v>
      </c>
      <c r="B23" s="159" t="s">
        <v>203</v>
      </c>
      <c r="C23" s="160" t="s">
        <v>204</v>
      </c>
      <c r="D23" s="159" t="s">
        <v>205</v>
      </c>
      <c r="E23" s="161" t="s">
        <v>206</v>
      </c>
      <c r="F23" s="161" t="s">
        <v>330</v>
      </c>
      <c r="G23" s="161"/>
      <c r="H23" s="185"/>
      <c r="I23" s="186" t="s">
        <v>478</v>
      </c>
      <c r="J23" s="76"/>
      <c r="K23" s="76"/>
      <c r="L23" s="64"/>
      <c r="M23" s="64"/>
      <c r="N23" s="158" t="s">
        <v>49</v>
      </c>
      <c r="O23" s="429" t="s">
        <v>203</v>
      </c>
      <c r="P23" s="430" t="s">
        <v>204</v>
      </c>
      <c r="Q23" s="429" t="s">
        <v>205</v>
      </c>
      <c r="R23" s="431" t="s">
        <v>206</v>
      </c>
      <c r="S23" s="431" t="s">
        <v>330</v>
      </c>
      <c r="T23" s="431"/>
      <c r="U23" s="432"/>
      <c r="V23" s="433" t="s">
        <v>478</v>
      </c>
      <c r="W23" s="64"/>
      <c r="X23" s="64"/>
      <c r="Y23" s="64"/>
    </row>
    <row r="24" spans="1:25" ht="15" thickBot="1" x14ac:dyDescent="0.2">
      <c r="A24" s="163"/>
      <c r="B24" s="164" t="s">
        <v>315</v>
      </c>
      <c r="C24" s="164" t="s">
        <v>207</v>
      </c>
      <c r="D24" s="164" t="s">
        <v>316</v>
      </c>
      <c r="E24" s="165"/>
      <c r="F24" s="165" t="s">
        <v>208</v>
      </c>
      <c r="G24" s="165" t="s">
        <v>319</v>
      </c>
      <c r="H24" s="165" t="s">
        <v>196</v>
      </c>
      <c r="I24" s="187"/>
      <c r="J24" s="76"/>
      <c r="K24" s="76"/>
      <c r="L24" s="64"/>
      <c r="M24" s="64"/>
      <c r="N24" s="434"/>
      <c r="O24" s="430" t="s">
        <v>315</v>
      </c>
      <c r="P24" s="430" t="s">
        <v>207</v>
      </c>
      <c r="Q24" s="430" t="s">
        <v>316</v>
      </c>
      <c r="R24" s="431"/>
      <c r="S24" s="431" t="s">
        <v>208</v>
      </c>
      <c r="T24" s="431" t="s">
        <v>319</v>
      </c>
      <c r="U24" s="431" t="s">
        <v>196</v>
      </c>
      <c r="V24" s="433"/>
      <c r="W24" s="64"/>
      <c r="X24" s="64"/>
      <c r="Y24" s="64"/>
    </row>
    <row r="25" spans="1:25" ht="17" x14ac:dyDescent="0.15">
      <c r="A25" s="167" t="s">
        <v>24</v>
      </c>
      <c r="B25" s="244">
        <v>78</v>
      </c>
      <c r="C25" s="169">
        <f>78.98+(B25*0.59)-(B3*0.37)</f>
        <v>100.21000000000001</v>
      </c>
      <c r="D25" s="168">
        <f>'Standard Tests'!B23</f>
        <v>109</v>
      </c>
      <c r="E25" s="188">
        <f t="shared" ref="E25:E30" si="4">D25-B25</f>
        <v>31</v>
      </c>
      <c r="F25" s="189">
        <f t="shared" ref="F25:F30" si="5">D25-C25</f>
        <v>8.789999999999992</v>
      </c>
      <c r="G25" s="190">
        <v>10.89</v>
      </c>
      <c r="H25" s="477">
        <f t="shared" ref="H25:H30" si="6">F25/G25</f>
        <v>0.80716253443526098</v>
      </c>
      <c r="I25" s="480" t="str">
        <f t="shared" ref="I25:I30" si="7">IF(AND(H25&gt;-1.645, H25&lt;1.645),"Normal", "Significant")</f>
        <v>Normal</v>
      </c>
      <c r="J25" s="76"/>
      <c r="K25" s="76"/>
      <c r="L25" s="64"/>
      <c r="M25" s="64"/>
      <c r="N25" s="440" t="s">
        <v>11</v>
      </c>
      <c r="O25" s="100">
        <v>25</v>
      </c>
      <c r="P25" s="67">
        <f>(O25*0.55)+($O$1*1.18)-($B$3*0.16)+19.34</f>
        <v>23.55</v>
      </c>
      <c r="Q25" s="67">
        <f>'Standard Tests'!B10</f>
        <v>30</v>
      </c>
      <c r="R25" s="328">
        <f>Q25-O25</f>
        <v>5</v>
      </c>
      <c r="S25" s="328">
        <f>Q25-P25</f>
        <v>6.4499999999999993</v>
      </c>
      <c r="T25" s="328">
        <v>3.74</v>
      </c>
      <c r="U25" s="67">
        <f t="shared" ref="U25:U36" si="8">S25/T25</f>
        <v>1.7245989304812832</v>
      </c>
      <c r="V25" s="486" t="str">
        <f t="shared" ref="V25:V36" si="9">IF(AND(U25&gt;-1.645, U25&lt;1.645),"Normal", "Significant")</f>
        <v>Significant</v>
      </c>
      <c r="W25" s="64"/>
      <c r="X25" s="64"/>
      <c r="Y25" s="64"/>
    </row>
    <row r="26" spans="1:25" ht="17" x14ac:dyDescent="0.15">
      <c r="A26" s="173" t="s">
        <v>25</v>
      </c>
      <c r="B26" s="245">
        <v>66</v>
      </c>
      <c r="C26" s="175">
        <f>56.85+(B26*0.3)+(B3*0.12)+(B5*0.67)-(B4*7.41)</f>
        <v>83.98</v>
      </c>
      <c r="D26" s="174">
        <f>'Standard Tests'!B24</f>
        <v>50</v>
      </c>
      <c r="E26" s="191">
        <f t="shared" si="4"/>
        <v>-16</v>
      </c>
      <c r="F26" s="192">
        <f t="shared" si="5"/>
        <v>-33.980000000000004</v>
      </c>
      <c r="G26" s="193">
        <v>14.03</v>
      </c>
      <c r="H26" s="478">
        <f t="shared" si="6"/>
        <v>-2.4219529579472563</v>
      </c>
      <c r="I26" s="481" t="str">
        <f t="shared" si="7"/>
        <v>Significant</v>
      </c>
      <c r="J26" s="76"/>
      <c r="K26" s="76"/>
      <c r="L26" s="64"/>
      <c r="M26" s="64"/>
      <c r="N26" s="440" t="s">
        <v>12</v>
      </c>
      <c r="O26" s="100">
        <v>15</v>
      </c>
      <c r="P26" s="67">
        <f>(O26*0.61)-($B$3*0.17)+18.25</f>
        <v>16.009999999999998</v>
      </c>
      <c r="Q26" s="67">
        <f>'Standard Tests'!B11</f>
        <v>17</v>
      </c>
      <c r="R26" s="328">
        <f t="shared" ref="R26:R36" si="10">Q26-O26</f>
        <v>2</v>
      </c>
      <c r="S26" s="328">
        <f t="shared" ref="S26:S36" si="11">Q26-P26</f>
        <v>0.99000000000000199</v>
      </c>
      <c r="T26" s="328">
        <v>3.48</v>
      </c>
      <c r="U26" s="67">
        <f t="shared" si="8"/>
        <v>0.28448275862069022</v>
      </c>
      <c r="V26" s="486" t="str">
        <f t="shared" si="9"/>
        <v>Normal</v>
      </c>
      <c r="W26" s="64"/>
      <c r="X26" s="64"/>
      <c r="Y26" s="64"/>
    </row>
    <row r="27" spans="1:25" ht="17" x14ac:dyDescent="0.15">
      <c r="A27" s="173" t="s">
        <v>26</v>
      </c>
      <c r="B27" s="245">
        <v>84</v>
      </c>
      <c r="C27" s="175">
        <f>40.26+(B27*0.6)-(B3*0.11)+(B5*0.74)</f>
        <v>90.69</v>
      </c>
      <c r="D27" s="174">
        <f>'Standard Tests'!B25</f>
        <v>60</v>
      </c>
      <c r="E27" s="191">
        <f t="shared" si="4"/>
        <v>-24</v>
      </c>
      <c r="F27" s="192">
        <f t="shared" si="5"/>
        <v>-30.689999999999998</v>
      </c>
      <c r="G27" s="193">
        <v>9.84</v>
      </c>
      <c r="H27" s="478">
        <f t="shared" si="6"/>
        <v>-3.11890243902439</v>
      </c>
      <c r="I27" s="481" t="str">
        <f t="shared" si="7"/>
        <v>Significant</v>
      </c>
      <c r="J27" s="76"/>
      <c r="K27" s="76"/>
      <c r="L27" s="64"/>
      <c r="M27" s="64"/>
      <c r="N27" s="440" t="s">
        <v>13</v>
      </c>
      <c r="O27" s="100">
        <v>20</v>
      </c>
      <c r="P27" s="67">
        <f>(O27*0.53)+8.5</f>
        <v>19.100000000000001</v>
      </c>
      <c r="Q27" s="67">
        <f>'Standard Tests'!B12</f>
        <v>0</v>
      </c>
      <c r="R27" s="328">
        <f t="shared" si="10"/>
        <v>-20</v>
      </c>
      <c r="S27" s="328">
        <f t="shared" si="11"/>
        <v>-19.100000000000001</v>
      </c>
      <c r="T27" s="328">
        <v>1.65</v>
      </c>
      <c r="U27" s="67">
        <f t="shared" si="8"/>
        <v>-11.575757575757578</v>
      </c>
      <c r="V27" s="486" t="str">
        <f t="shared" si="9"/>
        <v>Significant</v>
      </c>
      <c r="W27" s="64"/>
      <c r="X27" s="64"/>
      <c r="Y27" s="64"/>
    </row>
    <row r="28" spans="1:25" ht="17" x14ac:dyDescent="0.15">
      <c r="A28" s="173" t="s">
        <v>27</v>
      </c>
      <c r="B28" s="245">
        <v>82</v>
      </c>
      <c r="C28" s="175">
        <f>39.76 + (B28*0.63)</f>
        <v>91.42</v>
      </c>
      <c r="D28" s="174">
        <f>'Standard Tests'!B26</f>
        <v>64</v>
      </c>
      <c r="E28" s="191">
        <f t="shared" si="4"/>
        <v>-18</v>
      </c>
      <c r="F28" s="192">
        <f t="shared" si="5"/>
        <v>-27.42</v>
      </c>
      <c r="G28" s="193">
        <v>13.09</v>
      </c>
      <c r="H28" s="478">
        <f t="shared" si="6"/>
        <v>-2.0947288006111537</v>
      </c>
      <c r="I28" s="481" t="str">
        <f t="shared" si="7"/>
        <v>Significant</v>
      </c>
      <c r="J28" s="76"/>
      <c r="K28" s="76"/>
      <c r="L28" s="64"/>
      <c r="M28" s="64"/>
      <c r="N28" s="440" t="s">
        <v>14</v>
      </c>
      <c r="O28" s="100">
        <v>20</v>
      </c>
      <c r="P28" s="67">
        <f>(O28*0.45)+($R$1*0.69)-($B$3*0.07)+($O$1*0.56)+($O$2*1.73)+11.23</f>
        <v>17.829999999999998</v>
      </c>
      <c r="Q28" s="67">
        <f>'Standard Tests'!B13</f>
        <v>0</v>
      </c>
      <c r="R28" s="328">
        <f t="shared" si="10"/>
        <v>-20</v>
      </c>
      <c r="S28" s="328">
        <f t="shared" si="11"/>
        <v>-17.829999999999998</v>
      </c>
      <c r="T28" s="328">
        <v>2.2799999999999998</v>
      </c>
      <c r="U28" s="67">
        <f t="shared" si="8"/>
        <v>-7.8201754385964914</v>
      </c>
      <c r="V28" s="486" t="str">
        <f t="shared" si="9"/>
        <v>Significant</v>
      </c>
      <c r="W28" s="64"/>
      <c r="X28" s="64"/>
      <c r="Y28" s="64"/>
    </row>
    <row r="29" spans="1:25" ht="17" x14ac:dyDescent="0.15">
      <c r="A29" s="173" t="s">
        <v>209</v>
      </c>
      <c r="B29" s="245">
        <v>81</v>
      </c>
      <c r="C29" s="175">
        <f>34.91+(B29*0.7)</f>
        <v>91.609999999999985</v>
      </c>
      <c r="D29" s="174">
        <f>'Standard Tests'!B27</f>
        <v>75</v>
      </c>
      <c r="E29" s="191">
        <f t="shared" si="4"/>
        <v>-6</v>
      </c>
      <c r="F29" s="192">
        <f t="shared" si="5"/>
        <v>-16.609999999999985</v>
      </c>
      <c r="G29" s="193">
        <v>10.86</v>
      </c>
      <c r="H29" s="478">
        <f t="shared" si="6"/>
        <v>-1.529465930018415</v>
      </c>
      <c r="I29" s="481" t="str">
        <f t="shared" si="7"/>
        <v>Normal</v>
      </c>
      <c r="J29" s="76"/>
      <c r="K29" s="76"/>
      <c r="L29" s="64"/>
      <c r="M29" s="64"/>
      <c r="N29" s="440" t="s">
        <v>16</v>
      </c>
      <c r="O29" s="100">
        <v>9</v>
      </c>
      <c r="P29" s="67">
        <f>(O29*0.62)+($R$1*0.21)+3.45</f>
        <v>9.0300000000000011</v>
      </c>
      <c r="Q29" s="67">
        <f>'Standard Tests'!B14</f>
        <v>0</v>
      </c>
      <c r="R29" s="328">
        <f t="shared" si="10"/>
        <v>-9</v>
      </c>
      <c r="S29" s="328">
        <f t="shared" si="11"/>
        <v>-9.0300000000000011</v>
      </c>
      <c r="T29" s="328">
        <v>0.59</v>
      </c>
      <c r="U29" s="67">
        <f t="shared" si="8"/>
        <v>-15.305084745762715</v>
      </c>
      <c r="V29" s="486" t="str">
        <f t="shared" si="9"/>
        <v>Significant</v>
      </c>
      <c r="W29" s="64"/>
      <c r="X29" s="64"/>
      <c r="Y29" s="64"/>
    </row>
    <row r="30" spans="1:25" ht="18" thickBot="1" x14ac:dyDescent="0.2">
      <c r="A30" s="179" t="s">
        <v>210</v>
      </c>
      <c r="B30" s="246">
        <v>72</v>
      </c>
      <c r="C30" s="181">
        <f>31.32+(B30*0.72)</f>
        <v>83.16</v>
      </c>
      <c r="D30" s="180">
        <f>'Standard Tests'!B28</f>
        <v>64</v>
      </c>
      <c r="E30" s="194">
        <f t="shared" si="4"/>
        <v>-8</v>
      </c>
      <c r="F30" s="165">
        <f t="shared" si="5"/>
        <v>-19.159999999999997</v>
      </c>
      <c r="G30" s="195">
        <v>11.79</v>
      </c>
      <c r="H30" s="479">
        <f t="shared" si="6"/>
        <v>-1.6251060220525868</v>
      </c>
      <c r="I30" s="482" t="str">
        <f t="shared" si="7"/>
        <v>Normal</v>
      </c>
      <c r="J30" s="76"/>
      <c r="K30" s="76"/>
      <c r="L30" s="64"/>
      <c r="M30" s="64"/>
      <c r="N30" s="440" t="s">
        <v>17</v>
      </c>
      <c r="O30" s="100">
        <v>15</v>
      </c>
      <c r="P30" s="67">
        <f>(O30*0.53)+($O$1*0.59)+6.48</f>
        <v>15.020000000000001</v>
      </c>
      <c r="Q30" s="67">
        <f>'Standard Tests'!B15</f>
        <v>16</v>
      </c>
      <c r="R30" s="328">
        <f t="shared" si="10"/>
        <v>1</v>
      </c>
      <c r="S30" s="328">
        <f t="shared" si="11"/>
        <v>0.97999999999999865</v>
      </c>
      <c r="T30" s="328">
        <v>3.6</v>
      </c>
      <c r="U30" s="67">
        <f t="shared" si="8"/>
        <v>0.27222222222222187</v>
      </c>
      <c r="V30" s="486" t="str">
        <f t="shared" si="9"/>
        <v>Normal</v>
      </c>
      <c r="W30" s="64"/>
      <c r="X30" s="64"/>
      <c r="Y30" s="64"/>
    </row>
    <row r="31" spans="1:25" x14ac:dyDescent="0.15">
      <c r="A31" s="197" t="s">
        <v>687</v>
      </c>
      <c r="B31" s="76"/>
      <c r="C31" s="76"/>
      <c r="D31" s="76"/>
      <c r="E31" s="76"/>
      <c r="F31" s="76"/>
      <c r="G31" s="76"/>
      <c r="H31" s="76"/>
      <c r="I31" s="76"/>
      <c r="J31" s="76"/>
      <c r="K31" s="76"/>
      <c r="L31" s="64"/>
      <c r="M31" s="64"/>
      <c r="N31" s="440" t="s">
        <v>18</v>
      </c>
      <c r="O31" s="100">
        <v>8</v>
      </c>
      <c r="P31" s="67">
        <f>(O31*0.51)-($B$3*0.07)+($O$5*0.01)+8.25</f>
        <v>11.2</v>
      </c>
      <c r="Q31" s="67">
        <f>'Standard Tests'!B16</f>
        <v>4</v>
      </c>
      <c r="R31" s="328">
        <f t="shared" si="10"/>
        <v>-4</v>
      </c>
      <c r="S31" s="328">
        <f t="shared" si="11"/>
        <v>-7.1999999999999993</v>
      </c>
      <c r="T31" s="328">
        <v>1.9</v>
      </c>
      <c r="U31" s="67">
        <f t="shared" si="8"/>
        <v>-3.7894736842105261</v>
      </c>
      <c r="V31" s="486" t="str">
        <f t="shared" si="9"/>
        <v>Significant</v>
      </c>
      <c r="W31" s="64"/>
      <c r="X31" s="64"/>
      <c r="Y31" s="64"/>
    </row>
    <row r="32" spans="1:25" x14ac:dyDescent="0.15">
      <c r="A32" s="197" t="s">
        <v>212</v>
      </c>
      <c r="B32" s="76"/>
      <c r="C32" s="76"/>
      <c r="D32" s="76"/>
      <c r="E32" s="76"/>
      <c r="F32" s="76"/>
      <c r="G32" s="76"/>
      <c r="H32" s="76"/>
      <c r="I32" s="76"/>
      <c r="J32" s="76"/>
      <c r="K32" s="76"/>
      <c r="L32" s="64"/>
      <c r="M32" s="64"/>
      <c r="N32" s="440" t="s">
        <v>19</v>
      </c>
      <c r="O32" s="100">
        <v>32</v>
      </c>
      <c r="P32" s="67">
        <f>(O32*0.86)-($B$3*0.19)+18.86</f>
        <v>33.65</v>
      </c>
      <c r="Q32" s="67">
        <f>'Standard Tests'!B17</f>
        <v>38</v>
      </c>
      <c r="R32" s="328">
        <f t="shared" si="10"/>
        <v>6</v>
      </c>
      <c r="S32" s="328">
        <f t="shared" si="11"/>
        <v>4.3500000000000014</v>
      </c>
      <c r="T32" s="328">
        <v>5.45</v>
      </c>
      <c r="U32" s="67">
        <f t="shared" si="8"/>
        <v>0.79816513761467911</v>
      </c>
      <c r="V32" s="486" t="str">
        <f t="shared" si="9"/>
        <v>Normal</v>
      </c>
      <c r="W32" s="64"/>
      <c r="X32" s="64"/>
      <c r="Y32" s="64"/>
    </row>
    <row r="33" spans="1:25" x14ac:dyDescent="0.15">
      <c r="A33" s="76"/>
      <c r="B33" s="76"/>
      <c r="C33" s="76"/>
      <c r="D33" s="76"/>
      <c r="E33" s="76"/>
      <c r="F33" s="76"/>
      <c r="G33" s="76"/>
      <c r="H33" s="76"/>
      <c r="I33" s="76"/>
      <c r="J33" s="76"/>
      <c r="K33" s="76"/>
      <c r="L33" s="64"/>
      <c r="M33" s="64"/>
      <c r="N33" s="440" t="s">
        <v>20</v>
      </c>
      <c r="O33" s="100">
        <v>2</v>
      </c>
      <c r="P33" s="67">
        <f>(O33*0.64)-($B$3*0.07)+6.78</f>
        <v>3.37</v>
      </c>
      <c r="Q33" s="67">
        <f>'Standard Tests'!B18</f>
        <v>5</v>
      </c>
      <c r="R33" s="328">
        <f t="shared" si="10"/>
        <v>3</v>
      </c>
      <c r="S33" s="328">
        <f t="shared" si="11"/>
        <v>1.63</v>
      </c>
      <c r="T33" s="328">
        <v>1.96</v>
      </c>
      <c r="U33" s="67">
        <f t="shared" si="8"/>
        <v>0.83163265306122447</v>
      </c>
      <c r="V33" s="486" t="str">
        <f t="shared" si="9"/>
        <v>Normal</v>
      </c>
      <c r="W33" s="64"/>
      <c r="X33" s="64"/>
      <c r="Y33" s="64"/>
    </row>
    <row r="34" spans="1:25" ht="15" thickBot="1" x14ac:dyDescent="0.2">
      <c r="A34" s="76"/>
      <c r="B34" s="76"/>
      <c r="C34" s="76"/>
      <c r="D34" s="76"/>
      <c r="E34" s="76"/>
      <c r="F34" s="76"/>
      <c r="G34" s="76"/>
      <c r="H34" s="76"/>
      <c r="I34" s="76"/>
      <c r="J34" s="76"/>
      <c r="K34" s="76"/>
      <c r="L34" s="64"/>
      <c r="M34" s="64"/>
      <c r="N34" s="440" t="s">
        <v>449</v>
      </c>
      <c r="O34" s="100">
        <v>10</v>
      </c>
      <c r="P34" s="67">
        <f>(O34*0.51)-($B$3*0.04)+11.88</f>
        <v>14.3</v>
      </c>
      <c r="Q34" s="67">
        <f>'Standard Tests'!B19</f>
        <v>15</v>
      </c>
      <c r="R34" s="328">
        <f t="shared" si="10"/>
        <v>5</v>
      </c>
      <c r="S34" s="328">
        <f t="shared" si="11"/>
        <v>0.69999999999999929</v>
      </c>
      <c r="T34" s="328">
        <v>1.22</v>
      </c>
      <c r="U34" s="67">
        <f t="shared" si="8"/>
        <v>0.5737704918032781</v>
      </c>
      <c r="V34" s="486" t="str">
        <f t="shared" si="9"/>
        <v>Normal</v>
      </c>
      <c r="W34" s="64"/>
      <c r="X34" s="64"/>
      <c r="Y34" s="64"/>
    </row>
    <row r="35" spans="1:25" ht="14.5" customHeight="1" x14ac:dyDescent="0.15">
      <c r="A35" s="76"/>
      <c r="B35" s="879" t="s">
        <v>485</v>
      </c>
      <c r="C35" s="880"/>
      <c r="D35" s="880"/>
      <c r="E35" s="881"/>
      <c r="F35" s="76"/>
      <c r="G35" s="76"/>
      <c r="H35" s="76"/>
      <c r="I35" s="76"/>
      <c r="J35" s="76"/>
      <c r="K35" s="76"/>
      <c r="L35" s="64"/>
      <c r="M35" s="64"/>
      <c r="N35" s="440" t="s">
        <v>22</v>
      </c>
      <c r="O35" s="100">
        <v>0</v>
      </c>
      <c r="P35" s="67">
        <f>(O35*0.63)+($O$1*0.34)+2.03</f>
        <v>2.3699999999999997</v>
      </c>
      <c r="Q35" s="67">
        <f>'Standard Tests'!B20</f>
        <v>8</v>
      </c>
      <c r="R35" s="328">
        <f t="shared" si="10"/>
        <v>8</v>
      </c>
      <c r="S35" s="328">
        <f t="shared" si="11"/>
        <v>5.6300000000000008</v>
      </c>
      <c r="T35" s="328">
        <v>2.1</v>
      </c>
      <c r="U35" s="67">
        <f t="shared" si="8"/>
        <v>2.6809523809523812</v>
      </c>
      <c r="V35" s="486" t="str">
        <f t="shared" si="9"/>
        <v>Significant</v>
      </c>
      <c r="W35" s="64"/>
      <c r="X35" s="64"/>
      <c r="Y35" s="64"/>
    </row>
    <row r="36" spans="1:25" ht="15" customHeight="1" thickBot="1" x14ac:dyDescent="0.2">
      <c r="A36" s="76"/>
      <c r="B36" s="882"/>
      <c r="C36" s="883"/>
      <c r="D36" s="883"/>
      <c r="E36" s="884"/>
      <c r="F36" s="76"/>
      <c r="G36" s="76"/>
      <c r="H36" s="76"/>
      <c r="I36" s="76"/>
      <c r="J36" s="76"/>
      <c r="K36" s="76"/>
      <c r="L36" s="64"/>
      <c r="M36" s="64"/>
      <c r="N36" s="441" t="s">
        <v>450</v>
      </c>
      <c r="O36" s="435">
        <v>0</v>
      </c>
      <c r="P36" s="196">
        <f>(O36*0.57)-($B$3*0.08)+($O$1*0.59)+10.31</f>
        <v>5.54</v>
      </c>
      <c r="Q36" s="196">
        <f>'Standard Tests'!B21</f>
        <v>10</v>
      </c>
      <c r="R36" s="445">
        <f t="shared" si="10"/>
        <v>10</v>
      </c>
      <c r="S36" s="328">
        <f t="shared" si="11"/>
        <v>4.46</v>
      </c>
      <c r="T36" s="445">
        <v>3.16</v>
      </c>
      <c r="U36" s="196">
        <f t="shared" si="8"/>
        <v>1.4113924050632911</v>
      </c>
      <c r="V36" s="487" t="str">
        <f t="shared" si="9"/>
        <v>Normal</v>
      </c>
      <c r="W36" s="64"/>
      <c r="X36" s="64"/>
      <c r="Y36" s="64"/>
    </row>
    <row r="37" spans="1:25" ht="15" customHeight="1" thickBot="1" x14ac:dyDescent="0.2">
      <c r="A37" s="76"/>
      <c r="B37" s="882"/>
      <c r="C37" s="883"/>
      <c r="D37" s="883"/>
      <c r="E37" s="884"/>
      <c r="F37" s="76"/>
      <c r="G37" s="76"/>
      <c r="H37" s="76"/>
      <c r="I37" s="76"/>
      <c r="J37" s="76"/>
      <c r="K37" s="76"/>
      <c r="L37" s="64"/>
      <c r="M37" s="64"/>
      <c r="N37" s="64"/>
      <c r="O37" s="64"/>
      <c r="P37" s="64"/>
      <c r="Q37" s="64"/>
      <c r="R37" s="64"/>
      <c r="S37" s="64"/>
      <c r="T37" s="64"/>
      <c r="U37" s="64"/>
      <c r="V37" s="64"/>
      <c r="W37" s="64"/>
      <c r="X37" s="64"/>
      <c r="Y37" s="64"/>
    </row>
    <row r="38" spans="1:25" ht="15" customHeight="1" thickBot="1" x14ac:dyDescent="0.2">
      <c r="A38" s="76"/>
      <c r="B38" s="882"/>
      <c r="C38" s="883"/>
      <c r="D38" s="883"/>
      <c r="E38" s="884"/>
      <c r="F38" s="76"/>
      <c r="G38" s="76"/>
      <c r="H38" s="76"/>
      <c r="I38" s="76"/>
      <c r="J38" s="76"/>
      <c r="K38" s="76"/>
      <c r="L38" s="64"/>
      <c r="M38" s="64"/>
      <c r="N38" s="64"/>
      <c r="O38" s="429" t="s">
        <v>203</v>
      </c>
      <c r="P38" s="430" t="s">
        <v>204</v>
      </c>
      <c r="Q38" s="429" t="s">
        <v>205</v>
      </c>
      <c r="R38" s="64"/>
      <c r="S38" s="64"/>
      <c r="T38" s="64"/>
      <c r="U38" s="64"/>
      <c r="V38" s="64"/>
      <c r="W38" s="64"/>
      <c r="X38" s="64"/>
      <c r="Y38" s="64"/>
    </row>
    <row r="39" spans="1:25" ht="16.75" customHeight="1" x14ac:dyDescent="0.15">
      <c r="A39" s="76"/>
      <c r="B39" s="882"/>
      <c r="C39" s="883"/>
      <c r="D39" s="883"/>
      <c r="E39" s="884"/>
      <c r="F39" s="76"/>
      <c r="G39" s="76"/>
      <c r="H39" s="76"/>
      <c r="I39" s="76"/>
      <c r="J39" s="76"/>
      <c r="K39" s="76"/>
      <c r="L39" s="64"/>
      <c r="M39" s="64"/>
      <c r="N39" s="417" t="s">
        <v>24</v>
      </c>
      <c r="O39" s="418">
        <f t="shared" ref="O39:O44" si="12">B25</f>
        <v>78</v>
      </c>
      <c r="P39" s="419">
        <f>(O39*0.63)+($B$3*-0.37)+($O$1*2.58)+53.76</f>
        <v>80.69</v>
      </c>
      <c r="Q39" s="168">
        <f t="shared" ref="Q39:Q44" si="13">D25</f>
        <v>109</v>
      </c>
      <c r="R39" s="420">
        <f t="shared" ref="R39:R44" si="14">Q39-O39</f>
        <v>31</v>
      </c>
      <c r="S39" s="161">
        <f t="shared" ref="S39:S44" si="15">Q39-P39</f>
        <v>28.310000000000002</v>
      </c>
      <c r="T39" s="421">
        <v>11.08</v>
      </c>
      <c r="U39" s="422">
        <f t="shared" ref="U39:U44" si="16">S39/T39</f>
        <v>2.5550541516245491</v>
      </c>
      <c r="V39" s="480" t="str">
        <f t="shared" ref="V39:V44" si="17">IF(AND(U39&gt;-1.645, U39&lt;1.645),"Normal", "Significant")</f>
        <v>Significant</v>
      </c>
      <c r="W39" s="64"/>
      <c r="X39" s="64"/>
      <c r="Y39" s="64"/>
    </row>
    <row r="40" spans="1:25" ht="16.75" customHeight="1" thickBot="1" x14ac:dyDescent="0.2">
      <c r="A40" s="76"/>
      <c r="B40" s="885"/>
      <c r="C40" s="886"/>
      <c r="D40" s="886"/>
      <c r="E40" s="887"/>
      <c r="F40" s="76"/>
      <c r="G40" s="76"/>
      <c r="H40" s="76"/>
      <c r="I40" s="76"/>
      <c r="J40" s="76"/>
      <c r="K40" s="76"/>
      <c r="L40" s="64"/>
      <c r="M40" s="64"/>
      <c r="N40" s="173" t="s">
        <v>25</v>
      </c>
      <c r="O40" s="415">
        <f t="shared" si="12"/>
        <v>66</v>
      </c>
      <c r="P40" s="169">
        <f>(O40*0.57)+($O$1*2.81)+35.89</f>
        <v>76.319999999999993</v>
      </c>
      <c r="Q40" s="174">
        <f t="shared" si="13"/>
        <v>50</v>
      </c>
      <c r="R40" s="191">
        <f t="shared" si="14"/>
        <v>-16</v>
      </c>
      <c r="S40" s="192">
        <f t="shared" si="15"/>
        <v>-26.319999999999993</v>
      </c>
      <c r="T40" s="193">
        <v>12.5</v>
      </c>
      <c r="U40" s="67">
        <f t="shared" si="16"/>
        <v>-2.1055999999999995</v>
      </c>
      <c r="V40" s="481" t="str">
        <f t="shared" si="17"/>
        <v>Significant</v>
      </c>
      <c r="W40" s="64"/>
      <c r="X40" s="64"/>
      <c r="Y40" s="64"/>
    </row>
    <row r="41" spans="1:25" ht="16.75" customHeight="1" x14ac:dyDescent="0.15">
      <c r="A41" s="76"/>
      <c r="B41" s="76"/>
      <c r="C41" s="76"/>
      <c r="D41" s="76"/>
      <c r="E41" s="76"/>
      <c r="F41" s="76"/>
      <c r="G41" s="76"/>
      <c r="H41" s="76"/>
      <c r="I41" s="76"/>
      <c r="J41" s="76"/>
      <c r="K41" s="76"/>
      <c r="L41" s="64"/>
      <c r="M41" s="64"/>
      <c r="N41" s="173" t="s">
        <v>26</v>
      </c>
      <c r="O41" s="415">
        <f t="shared" si="12"/>
        <v>84</v>
      </c>
      <c r="P41" s="169">
        <f>(O41*0.63)+35.28</f>
        <v>88.2</v>
      </c>
      <c r="Q41" s="174">
        <f t="shared" si="13"/>
        <v>60</v>
      </c>
      <c r="R41" s="191">
        <f t="shared" si="14"/>
        <v>-24</v>
      </c>
      <c r="S41" s="192">
        <f t="shared" si="15"/>
        <v>-28.200000000000003</v>
      </c>
      <c r="T41" s="193">
        <v>8.7899999999999991</v>
      </c>
      <c r="U41" s="67">
        <f t="shared" si="16"/>
        <v>-3.2081911262798641</v>
      </c>
      <c r="V41" s="481" t="str">
        <f t="shared" si="17"/>
        <v>Significant</v>
      </c>
      <c r="W41" s="64"/>
      <c r="X41" s="64"/>
      <c r="Y41" s="64"/>
    </row>
    <row r="42" spans="1:25" ht="16.75" customHeight="1" x14ac:dyDescent="0.15">
      <c r="A42" s="76"/>
      <c r="B42" s="76"/>
      <c r="C42" s="76"/>
      <c r="D42" s="76"/>
      <c r="E42" s="76"/>
      <c r="F42" s="76"/>
      <c r="G42" s="76"/>
      <c r="H42" s="76"/>
      <c r="I42" s="76"/>
      <c r="J42" s="76"/>
      <c r="K42" s="76"/>
      <c r="L42" s="64"/>
      <c r="M42" s="64"/>
      <c r="N42" s="173" t="s">
        <v>27</v>
      </c>
      <c r="O42" s="415">
        <f t="shared" si="12"/>
        <v>82</v>
      </c>
      <c r="P42" s="169">
        <f>(O42*0.75)+(-0.3*$B$3)+(0.03*$O$5)+37.04</f>
        <v>89.12</v>
      </c>
      <c r="Q42" s="174">
        <f t="shared" si="13"/>
        <v>64</v>
      </c>
      <c r="R42" s="191">
        <f t="shared" si="14"/>
        <v>-18</v>
      </c>
      <c r="S42" s="192">
        <f t="shared" si="15"/>
        <v>-25.120000000000005</v>
      </c>
      <c r="T42" s="193">
        <v>9.65</v>
      </c>
      <c r="U42" s="67">
        <f t="shared" si="16"/>
        <v>-2.6031088082901559</v>
      </c>
      <c r="V42" s="481" t="str">
        <f t="shared" si="17"/>
        <v>Significant</v>
      </c>
      <c r="W42" s="64"/>
      <c r="X42" s="64"/>
      <c r="Y42" s="64"/>
    </row>
    <row r="43" spans="1:25" ht="16.75" customHeight="1" x14ac:dyDescent="0.15">
      <c r="A43" s="76" t="s">
        <v>498</v>
      </c>
      <c r="B43" s="499"/>
      <c r="C43" s="76" t="s">
        <v>499</v>
      </c>
      <c r="D43" s="76"/>
      <c r="E43" s="76" t="s">
        <v>557</v>
      </c>
      <c r="F43" s="76"/>
      <c r="G43" s="76"/>
      <c r="H43" s="76"/>
      <c r="I43" s="76"/>
      <c r="J43" s="76"/>
      <c r="K43" s="76"/>
      <c r="L43" s="64"/>
      <c r="M43" s="64"/>
      <c r="N43" s="173" t="s">
        <v>209</v>
      </c>
      <c r="O43" s="415">
        <f t="shared" si="12"/>
        <v>81</v>
      </c>
      <c r="P43" s="169">
        <f>(O43*0.71)+30.6</f>
        <v>88.11</v>
      </c>
      <c r="Q43" s="174">
        <f t="shared" si="13"/>
        <v>75</v>
      </c>
      <c r="R43" s="191">
        <f t="shared" si="14"/>
        <v>-6</v>
      </c>
      <c r="S43" s="192">
        <f t="shared" si="15"/>
        <v>-13.11</v>
      </c>
      <c r="T43" s="193">
        <v>11.46</v>
      </c>
      <c r="U43" s="67">
        <f t="shared" si="16"/>
        <v>-1.1439790575916229</v>
      </c>
      <c r="V43" s="481" t="str">
        <f t="shared" si="17"/>
        <v>Normal</v>
      </c>
      <c r="W43" s="64"/>
      <c r="X43" s="64"/>
      <c r="Y43" s="64"/>
    </row>
    <row r="44" spans="1:25" ht="16.75" customHeight="1" thickBot="1" x14ac:dyDescent="0.2">
      <c r="A44" s="76" t="s">
        <v>493</v>
      </c>
      <c r="B44" s="76"/>
      <c r="C44" s="76"/>
      <c r="D44" s="76"/>
      <c r="E44" s="76"/>
      <c r="F44" s="76"/>
      <c r="G44" s="76"/>
      <c r="H44" s="76"/>
      <c r="I44" s="76"/>
      <c r="J44" s="76"/>
      <c r="K44" s="76"/>
      <c r="L44" s="64"/>
      <c r="M44" s="64"/>
      <c r="N44" s="179" t="s">
        <v>210</v>
      </c>
      <c r="O44" s="416">
        <f t="shared" si="12"/>
        <v>72</v>
      </c>
      <c r="P44" s="423">
        <f>(O44*0.75)+(-0.23*$B$3)+(1.47*$O$1)+30.6</f>
        <v>70.66</v>
      </c>
      <c r="Q44" s="180">
        <f t="shared" si="13"/>
        <v>64</v>
      </c>
      <c r="R44" s="194">
        <f t="shared" si="14"/>
        <v>-8</v>
      </c>
      <c r="S44" s="165">
        <f t="shared" si="15"/>
        <v>-6.6599999999999966</v>
      </c>
      <c r="T44" s="195">
        <v>7.81</v>
      </c>
      <c r="U44" s="196">
        <f t="shared" si="16"/>
        <v>-0.85275288092189461</v>
      </c>
      <c r="V44" s="482" t="str">
        <f t="shared" si="17"/>
        <v>Normal</v>
      </c>
      <c r="W44" s="64"/>
      <c r="X44" s="64"/>
      <c r="Y44" s="64"/>
    </row>
    <row r="45" spans="1:25" x14ac:dyDescent="0.15">
      <c r="A45" s="158" t="s">
        <v>2</v>
      </c>
      <c r="B45" s="159" t="s">
        <v>500</v>
      </c>
      <c r="C45" s="159" t="s">
        <v>501</v>
      </c>
      <c r="D45" s="159" t="s">
        <v>504</v>
      </c>
      <c r="E45" s="76"/>
      <c r="F45" s="76"/>
      <c r="G45" s="76"/>
      <c r="H45" s="76"/>
      <c r="I45" s="76"/>
      <c r="J45" s="76"/>
      <c r="K45" s="76"/>
      <c r="L45" s="64"/>
      <c r="M45" s="64"/>
      <c r="N45" s="438" t="s">
        <v>448</v>
      </c>
      <c r="O45" s="64"/>
      <c r="P45" s="64"/>
      <c r="Q45" s="64"/>
      <c r="R45" s="64"/>
      <c r="S45" s="64"/>
      <c r="T45" s="64"/>
      <c r="U45" s="64"/>
      <c r="V45" s="64"/>
      <c r="W45" s="64"/>
      <c r="X45" s="64"/>
      <c r="Y45" s="64"/>
    </row>
    <row r="46" spans="1:25" ht="15" thickBot="1" x14ac:dyDescent="0.2">
      <c r="A46" s="163"/>
      <c r="B46" s="164"/>
      <c r="C46" s="490"/>
      <c r="D46" s="490" t="s">
        <v>2</v>
      </c>
      <c r="E46" s="76"/>
      <c r="F46" s="76"/>
      <c r="G46" s="76"/>
      <c r="H46" s="76"/>
      <c r="I46" s="76"/>
      <c r="J46" s="76"/>
      <c r="K46" s="76"/>
      <c r="L46" s="64"/>
      <c r="M46" s="64"/>
      <c r="N46" s="64"/>
      <c r="O46" s="64"/>
      <c r="P46" s="64"/>
      <c r="Q46" s="64"/>
      <c r="R46" s="64"/>
      <c r="S46" s="64"/>
      <c r="T46" s="64"/>
      <c r="U46" s="64"/>
      <c r="V46" s="64"/>
      <c r="W46" s="64"/>
      <c r="X46" s="64"/>
      <c r="Y46" s="64"/>
    </row>
    <row r="47" spans="1:25" ht="17" x14ac:dyDescent="0.15">
      <c r="A47" s="167" t="s">
        <v>24</v>
      </c>
      <c r="B47" s="491">
        <f>$B$25</f>
        <v>78</v>
      </c>
      <c r="C47" s="480">
        <f>$D$25</f>
        <v>109</v>
      </c>
      <c r="D47" s="480">
        <f t="shared" ref="D47:D52" si="18">C47-B47</f>
        <v>31</v>
      </c>
      <c r="E47" s="76"/>
      <c r="F47" s="76"/>
      <c r="G47" s="76"/>
      <c r="H47" s="76"/>
      <c r="I47" s="76"/>
      <c r="J47" s="76"/>
      <c r="K47" s="76"/>
      <c r="L47" s="64"/>
      <c r="M47" s="64"/>
      <c r="N47" s="64"/>
      <c r="O47" s="64"/>
      <c r="P47" s="64"/>
      <c r="Q47" s="64"/>
      <c r="R47" s="64"/>
      <c r="S47" s="64"/>
      <c r="T47" s="64"/>
      <c r="U47" s="64"/>
      <c r="V47" s="64"/>
      <c r="W47" s="64"/>
      <c r="X47" s="64"/>
      <c r="Y47" s="64"/>
    </row>
    <row r="48" spans="1:25" ht="17" x14ac:dyDescent="0.15">
      <c r="A48" s="173" t="s">
        <v>25</v>
      </c>
      <c r="B48" s="492">
        <f>$B$26</f>
        <v>66</v>
      </c>
      <c r="C48" s="494">
        <f>$D$26</f>
        <v>50</v>
      </c>
      <c r="D48" s="494">
        <f t="shared" si="18"/>
        <v>-16</v>
      </c>
      <c r="E48" s="76"/>
      <c r="F48" s="76"/>
      <c r="G48" s="76"/>
      <c r="H48" s="76"/>
      <c r="I48" s="76"/>
      <c r="J48" s="76"/>
      <c r="K48" s="76"/>
      <c r="L48" s="64"/>
      <c r="M48" s="64"/>
      <c r="N48" s="64"/>
      <c r="O48" s="64"/>
      <c r="P48" s="64"/>
      <c r="Q48" s="64"/>
      <c r="R48" s="64"/>
      <c r="S48" s="64"/>
      <c r="T48" s="64"/>
      <c r="U48" s="64"/>
      <c r="V48" s="64"/>
      <c r="W48" s="64"/>
      <c r="X48" s="64"/>
      <c r="Y48" s="64"/>
    </row>
    <row r="49" spans="1:25" ht="17" x14ac:dyDescent="0.15">
      <c r="A49" s="173" t="s">
        <v>26</v>
      </c>
      <c r="B49" s="492">
        <f>$B$27</f>
        <v>84</v>
      </c>
      <c r="C49" s="494">
        <f>$D$27</f>
        <v>60</v>
      </c>
      <c r="D49" s="494">
        <f t="shared" si="18"/>
        <v>-24</v>
      </c>
      <c r="E49" s="76"/>
      <c r="F49" s="76"/>
      <c r="G49" s="76"/>
      <c r="H49" s="76"/>
      <c r="I49" s="76"/>
      <c r="J49" s="76"/>
      <c r="K49" s="76"/>
      <c r="L49" s="64"/>
      <c r="M49" s="64"/>
      <c r="N49" s="64"/>
      <c r="O49" s="64"/>
      <c r="P49" s="64"/>
      <c r="Q49" s="64"/>
      <c r="R49" s="64"/>
      <c r="S49" s="64"/>
      <c r="T49" s="64"/>
      <c r="U49" s="64"/>
      <c r="V49" s="64"/>
      <c r="W49" s="64"/>
      <c r="X49" s="64"/>
      <c r="Y49" s="64"/>
    </row>
    <row r="50" spans="1:25" ht="17" x14ac:dyDescent="0.15">
      <c r="A50" s="173" t="s">
        <v>27</v>
      </c>
      <c r="B50" s="492">
        <f>$B$28</f>
        <v>82</v>
      </c>
      <c r="C50" s="494">
        <f>$D$28</f>
        <v>64</v>
      </c>
      <c r="D50" s="494">
        <f t="shared" si="18"/>
        <v>-18</v>
      </c>
      <c r="E50" s="76"/>
      <c r="F50" s="76"/>
      <c r="G50" s="76"/>
      <c r="H50" s="76"/>
      <c r="I50" s="76"/>
      <c r="J50" s="76"/>
      <c r="K50" s="76"/>
      <c r="L50" s="64"/>
      <c r="M50" s="64"/>
      <c r="N50" s="64"/>
      <c r="O50" s="64"/>
      <c r="P50" s="64"/>
      <c r="Q50" s="64"/>
      <c r="R50" s="64"/>
      <c r="S50" s="64"/>
      <c r="T50" s="64"/>
      <c r="U50" s="64"/>
      <c r="V50" s="64"/>
      <c r="W50" s="64"/>
      <c r="X50" s="64"/>
      <c r="Y50" s="64"/>
    </row>
    <row r="51" spans="1:25" ht="17" x14ac:dyDescent="0.15">
      <c r="A51" s="173" t="s">
        <v>209</v>
      </c>
      <c r="B51" s="492">
        <f>$B$29</f>
        <v>81</v>
      </c>
      <c r="C51" s="494">
        <f>$D$29</f>
        <v>75</v>
      </c>
      <c r="D51" s="494">
        <f t="shared" si="18"/>
        <v>-6</v>
      </c>
      <c r="E51" s="76"/>
      <c r="F51" s="76"/>
      <c r="G51" s="76"/>
      <c r="H51" s="76"/>
      <c r="I51" s="76"/>
      <c r="J51" s="76"/>
      <c r="K51" s="76"/>
      <c r="L51" s="64"/>
      <c r="M51" s="64"/>
      <c r="N51" s="64"/>
      <c r="O51" s="64"/>
      <c r="P51" s="64"/>
      <c r="Q51" s="64"/>
      <c r="R51" s="64"/>
      <c r="S51" s="64"/>
      <c r="T51" s="64"/>
      <c r="U51" s="64"/>
      <c r="V51" s="64"/>
      <c r="W51" s="64"/>
      <c r="X51" s="64"/>
      <c r="Y51" s="64"/>
    </row>
    <row r="52" spans="1:25" ht="18" thickBot="1" x14ac:dyDescent="0.2">
      <c r="A52" s="179" t="s">
        <v>210</v>
      </c>
      <c r="B52" s="493">
        <f>$B$30</f>
        <v>72</v>
      </c>
      <c r="C52" s="495">
        <f>$D$30</f>
        <v>64</v>
      </c>
      <c r="D52" s="495">
        <f t="shared" si="18"/>
        <v>-8</v>
      </c>
      <c r="E52" s="76"/>
      <c r="F52" s="76"/>
      <c r="G52" s="76"/>
      <c r="H52" s="76"/>
      <c r="I52" s="76"/>
      <c r="J52" s="76"/>
      <c r="K52" s="76"/>
      <c r="L52" s="64"/>
      <c r="M52" s="64"/>
      <c r="N52" s="64"/>
      <c r="O52" s="64"/>
      <c r="P52" s="64"/>
      <c r="Q52" s="64"/>
      <c r="R52" s="64"/>
      <c r="S52" s="64"/>
      <c r="T52" s="64"/>
      <c r="U52" s="64"/>
      <c r="V52" s="64"/>
      <c r="W52" s="64"/>
      <c r="X52" s="64"/>
      <c r="Y52" s="64"/>
    </row>
    <row r="53" spans="1:25" x14ac:dyDescent="0.15">
      <c r="A53" s="76"/>
      <c r="B53" s="76"/>
      <c r="C53" s="76"/>
      <c r="D53" s="76"/>
      <c r="E53" s="76"/>
      <c r="F53" s="76"/>
      <c r="G53" s="76"/>
      <c r="H53" s="76"/>
      <c r="I53" s="76"/>
      <c r="J53" s="76"/>
      <c r="K53" s="76"/>
      <c r="L53" s="64"/>
      <c r="M53" s="64"/>
      <c r="N53" s="64"/>
      <c r="O53" s="64"/>
      <c r="P53" s="64"/>
      <c r="Q53" s="64"/>
      <c r="R53" s="64"/>
      <c r="S53" s="64"/>
      <c r="T53" s="64"/>
      <c r="U53" s="64"/>
      <c r="V53" s="64"/>
      <c r="W53" s="64"/>
      <c r="X53" s="64"/>
      <c r="Y53" s="64"/>
    </row>
    <row r="54" spans="1:25" x14ac:dyDescent="0.15">
      <c r="A54" s="76"/>
      <c r="B54" s="76"/>
      <c r="C54" s="76"/>
      <c r="D54" s="76"/>
      <c r="E54" s="76"/>
      <c r="F54" s="76"/>
      <c r="G54" s="76"/>
      <c r="H54" s="76"/>
      <c r="I54" s="76"/>
      <c r="J54" s="76"/>
      <c r="K54" s="76"/>
    </row>
    <row r="55" spans="1:25" x14ac:dyDescent="0.15">
      <c r="A55" s="76"/>
      <c r="B55" s="76"/>
      <c r="C55" s="76"/>
      <c r="D55" s="76"/>
      <c r="E55" s="76"/>
      <c r="F55" s="76"/>
      <c r="G55" s="76"/>
      <c r="H55" s="76"/>
      <c r="I55" s="76"/>
      <c r="J55" s="76"/>
      <c r="K55" s="76"/>
    </row>
    <row r="56" spans="1:25" x14ac:dyDescent="0.15">
      <c r="A56" s="76"/>
      <c r="B56" s="76"/>
      <c r="C56" s="76"/>
      <c r="D56" s="76"/>
      <c r="E56" s="76"/>
      <c r="F56" s="76"/>
      <c r="G56" s="76"/>
      <c r="H56" s="76"/>
      <c r="I56" s="76"/>
      <c r="J56" s="76"/>
      <c r="K56" s="76"/>
    </row>
    <row r="57" spans="1:25" x14ac:dyDescent="0.15">
      <c r="A57" s="76"/>
      <c r="B57" s="76"/>
      <c r="C57" s="76"/>
      <c r="D57" s="76"/>
      <c r="E57" s="76"/>
      <c r="F57" s="76"/>
      <c r="G57" s="76"/>
      <c r="H57" s="76"/>
      <c r="I57" s="76"/>
      <c r="J57" s="76"/>
      <c r="K57" s="76"/>
    </row>
    <row r="58" spans="1:25" x14ac:dyDescent="0.15">
      <c r="A58" s="76"/>
      <c r="B58" s="76"/>
      <c r="C58" s="76"/>
      <c r="D58" s="76"/>
      <c r="E58" s="76"/>
      <c r="F58" s="76"/>
      <c r="G58" s="76"/>
      <c r="H58" s="76"/>
      <c r="I58" s="76"/>
      <c r="J58" s="76"/>
      <c r="K58" s="76"/>
    </row>
    <row r="59" spans="1:25" x14ac:dyDescent="0.15">
      <c r="A59" s="76" t="s">
        <v>509</v>
      </c>
      <c r="B59" s="76"/>
      <c r="C59" s="76"/>
      <c r="D59" s="76"/>
      <c r="E59" s="76"/>
      <c r="F59" s="76"/>
      <c r="G59" s="76"/>
      <c r="H59" s="76"/>
      <c r="I59" s="76"/>
      <c r="J59" s="76"/>
      <c r="K59" s="76"/>
    </row>
    <row r="60" spans="1:25" ht="15" thickBot="1" x14ac:dyDescent="0.2">
      <c r="A60" s="76"/>
      <c r="B60" s="76"/>
      <c r="C60" s="76"/>
      <c r="D60" s="76"/>
      <c r="E60" s="76"/>
      <c r="F60" s="76"/>
      <c r="G60" s="76"/>
      <c r="H60" s="76"/>
      <c r="I60" s="76"/>
      <c r="J60" s="76"/>
      <c r="K60" s="76"/>
    </row>
    <row r="61" spans="1:25" ht="15" thickBot="1" x14ac:dyDescent="0.2">
      <c r="A61" s="158" t="s">
        <v>2</v>
      </c>
      <c r="B61" s="159" t="s">
        <v>203</v>
      </c>
      <c r="C61" s="159" t="s">
        <v>205</v>
      </c>
      <c r="D61" s="159" t="s">
        <v>502</v>
      </c>
      <c r="E61" s="159" t="s">
        <v>503</v>
      </c>
      <c r="F61" s="159" t="s">
        <v>504</v>
      </c>
      <c r="G61" s="159" t="s">
        <v>507</v>
      </c>
      <c r="H61" s="159" t="s">
        <v>508</v>
      </c>
      <c r="I61" s="433" t="s">
        <v>478</v>
      </c>
      <c r="J61" s="76"/>
      <c r="K61" s="76"/>
    </row>
    <row r="62" spans="1:25" ht="15" thickBot="1" x14ac:dyDescent="0.2">
      <c r="A62" s="163"/>
      <c r="B62" s="164" t="s">
        <v>315</v>
      </c>
      <c r="C62" s="490" t="s">
        <v>316</v>
      </c>
      <c r="D62" s="490"/>
      <c r="E62" s="490"/>
      <c r="F62" s="490" t="s">
        <v>505</v>
      </c>
      <c r="G62" s="490" t="s">
        <v>506</v>
      </c>
      <c r="H62" s="490"/>
      <c r="I62" s="433"/>
      <c r="J62" s="76"/>
      <c r="K62" s="76"/>
    </row>
    <row r="63" spans="1:25" ht="17" x14ac:dyDescent="0.15">
      <c r="A63" s="167" t="s">
        <v>24</v>
      </c>
      <c r="B63" s="491">
        <f>$B$25</f>
        <v>78</v>
      </c>
      <c r="C63" s="480">
        <f>$D$25</f>
        <v>109</v>
      </c>
      <c r="D63" s="480">
        <f>(B63-100)/15</f>
        <v>-1.4666666666666666</v>
      </c>
      <c r="E63" s="480">
        <f>(C63-100)/15</f>
        <v>0.6</v>
      </c>
      <c r="F63" s="480">
        <f t="shared" ref="F63:F68" si="19">E63-D63</f>
        <v>2.0666666666666664</v>
      </c>
      <c r="G63" s="480">
        <v>0.75</v>
      </c>
      <c r="H63" s="480">
        <f t="shared" ref="H63:H68" si="20">F63/(SQRT(2-(2*G63)))</f>
        <v>2.9227080289043958</v>
      </c>
      <c r="I63" s="498" t="str">
        <f t="shared" ref="I63:I68" si="21">IF(AND(H63&gt;-1.645, H63&lt;1.645),"Normal", "Significant")</f>
        <v>Significant</v>
      </c>
      <c r="J63" s="76"/>
      <c r="K63" s="76"/>
    </row>
    <row r="64" spans="1:25" ht="17" x14ac:dyDescent="0.15">
      <c r="A64" s="173" t="s">
        <v>25</v>
      </c>
      <c r="B64" s="492">
        <f>$B$26</f>
        <v>66</v>
      </c>
      <c r="C64" s="494">
        <f>$D$26</f>
        <v>50</v>
      </c>
      <c r="D64" s="494">
        <f t="shared" ref="D64:D68" si="22">(B64-100)/15</f>
        <v>-2.2666666666666666</v>
      </c>
      <c r="E64" s="494">
        <f t="shared" ref="E64:E68" si="23">(C64-100)/15</f>
        <v>-3.3333333333333335</v>
      </c>
      <c r="F64" s="494">
        <f t="shared" si="19"/>
        <v>-1.0666666666666669</v>
      </c>
      <c r="G64" s="494">
        <v>0.68</v>
      </c>
      <c r="H64" s="494">
        <f t="shared" si="20"/>
        <v>-1.3333333333333337</v>
      </c>
      <c r="I64" s="486" t="str">
        <f t="shared" si="21"/>
        <v>Normal</v>
      </c>
      <c r="J64" s="76"/>
      <c r="K64" s="76"/>
    </row>
    <row r="65" spans="1:11" ht="17" x14ac:dyDescent="0.15">
      <c r="A65" s="173" t="s">
        <v>26</v>
      </c>
      <c r="B65" s="492">
        <f>$B$27</f>
        <v>84</v>
      </c>
      <c r="C65" s="494">
        <f>$D$27</f>
        <v>60</v>
      </c>
      <c r="D65" s="494">
        <f t="shared" si="22"/>
        <v>-1.0666666666666667</v>
      </c>
      <c r="E65" s="494">
        <f t="shared" si="23"/>
        <v>-2.6666666666666665</v>
      </c>
      <c r="F65" s="494">
        <f t="shared" si="19"/>
        <v>-1.5999999999999999</v>
      </c>
      <c r="G65" s="494">
        <v>0.75</v>
      </c>
      <c r="H65" s="494">
        <f t="shared" si="20"/>
        <v>-2.2627416997969516</v>
      </c>
      <c r="I65" s="486" t="str">
        <f t="shared" si="21"/>
        <v>Significant</v>
      </c>
      <c r="J65" s="76"/>
      <c r="K65" s="76"/>
    </row>
    <row r="66" spans="1:11" ht="17" x14ac:dyDescent="0.15">
      <c r="A66" s="173" t="s">
        <v>27</v>
      </c>
      <c r="B66" s="492">
        <f>$B$28</f>
        <v>82</v>
      </c>
      <c r="C66" s="494">
        <f>$D$28</f>
        <v>64</v>
      </c>
      <c r="D66" s="494">
        <f t="shared" si="22"/>
        <v>-1.2</v>
      </c>
      <c r="E66" s="494">
        <f t="shared" si="23"/>
        <v>-2.4</v>
      </c>
      <c r="F66" s="494">
        <f t="shared" si="19"/>
        <v>-1.2</v>
      </c>
      <c r="G66" s="494">
        <v>0.71</v>
      </c>
      <c r="H66" s="494">
        <f t="shared" si="20"/>
        <v>-1.5756771943166705</v>
      </c>
      <c r="I66" s="486" t="str">
        <f t="shared" si="21"/>
        <v>Normal</v>
      </c>
      <c r="J66" s="76"/>
      <c r="K66" s="76"/>
    </row>
    <row r="67" spans="1:11" ht="17" x14ac:dyDescent="0.15">
      <c r="A67" s="173" t="s">
        <v>209</v>
      </c>
      <c r="B67" s="492">
        <f>$B$29</f>
        <v>81</v>
      </c>
      <c r="C67" s="494">
        <f>$D$29</f>
        <v>75</v>
      </c>
      <c r="D67" s="494">
        <f t="shared" si="22"/>
        <v>-1.2666666666666666</v>
      </c>
      <c r="E67" s="494">
        <f t="shared" si="23"/>
        <v>-1.6666666666666667</v>
      </c>
      <c r="F67" s="494">
        <f t="shared" si="19"/>
        <v>-0.40000000000000013</v>
      </c>
      <c r="G67" s="494">
        <v>0.8</v>
      </c>
      <c r="H67" s="494">
        <f t="shared" si="20"/>
        <v>-0.63245553203367622</v>
      </c>
      <c r="I67" s="486" t="str">
        <f t="shared" si="21"/>
        <v>Normal</v>
      </c>
      <c r="J67" s="76"/>
      <c r="K67" s="76"/>
    </row>
    <row r="68" spans="1:11" ht="18" thickBot="1" x14ac:dyDescent="0.2">
      <c r="A68" s="179" t="s">
        <v>210</v>
      </c>
      <c r="B68" s="493">
        <f>$B$30</f>
        <v>72</v>
      </c>
      <c r="C68" s="495">
        <f>$D$30</f>
        <v>64</v>
      </c>
      <c r="D68" s="495">
        <f t="shared" si="22"/>
        <v>-1.8666666666666667</v>
      </c>
      <c r="E68" s="495">
        <f t="shared" si="23"/>
        <v>-2.4</v>
      </c>
      <c r="F68" s="495">
        <f t="shared" si="19"/>
        <v>-0.53333333333333321</v>
      </c>
      <c r="G68" s="495">
        <v>0.84</v>
      </c>
      <c r="H68" s="495">
        <f t="shared" si="20"/>
        <v>-0.94280904158206302</v>
      </c>
      <c r="I68" s="487" t="str">
        <f t="shared" si="21"/>
        <v>Normal</v>
      </c>
      <c r="J68" s="76"/>
      <c r="K68" s="76"/>
    </row>
    <row r="69" spans="1:11" x14ac:dyDescent="0.15">
      <c r="A69" s="76"/>
      <c r="B69" s="76"/>
      <c r="C69" s="76"/>
      <c r="D69" s="76"/>
      <c r="E69" s="76"/>
      <c r="F69" s="76"/>
      <c r="G69" s="76"/>
      <c r="H69" s="76"/>
      <c r="I69" s="76"/>
      <c r="J69" s="76"/>
      <c r="K69" s="76"/>
    </row>
    <row r="70" spans="1:11" x14ac:dyDescent="0.15">
      <c r="A70" s="76"/>
      <c r="B70" s="76"/>
      <c r="C70" s="76"/>
      <c r="D70" s="76"/>
      <c r="E70" s="76"/>
      <c r="F70" s="76"/>
      <c r="G70" s="76"/>
      <c r="H70" s="76"/>
      <c r="I70" s="76"/>
      <c r="J70" s="76"/>
      <c r="K70" s="76"/>
    </row>
    <row r="71" spans="1:11" x14ac:dyDescent="0.15">
      <c r="A71" s="76"/>
      <c r="B71" s="76"/>
      <c r="C71" s="76"/>
      <c r="D71" s="76"/>
      <c r="E71" s="76"/>
      <c r="F71" s="76"/>
      <c r="G71" s="76"/>
      <c r="H71" s="76"/>
      <c r="I71" s="76"/>
      <c r="J71" s="76"/>
      <c r="K71" s="76"/>
    </row>
    <row r="72" spans="1:11" x14ac:dyDescent="0.15">
      <c r="A72" s="76"/>
      <c r="B72" s="76"/>
      <c r="C72" s="76"/>
      <c r="D72" s="76"/>
      <c r="E72" s="76"/>
      <c r="F72" s="76"/>
      <c r="G72" s="76"/>
      <c r="H72" s="76"/>
      <c r="I72" s="76"/>
      <c r="J72" s="76"/>
      <c r="K72" s="76"/>
    </row>
    <row r="73" spans="1:11" x14ac:dyDescent="0.15">
      <c r="A73" s="76"/>
      <c r="B73" s="76"/>
      <c r="C73" s="76"/>
      <c r="D73" s="76"/>
      <c r="E73" s="76"/>
      <c r="F73" s="76"/>
      <c r="G73" s="76"/>
      <c r="H73" s="76"/>
      <c r="I73" s="76"/>
      <c r="J73" s="76"/>
      <c r="K73" s="76"/>
    </row>
    <row r="74" spans="1:11" x14ac:dyDescent="0.15">
      <c r="A74" s="76"/>
      <c r="B74" s="76"/>
      <c r="C74" s="76"/>
      <c r="D74" s="76"/>
      <c r="E74" s="76"/>
      <c r="F74" s="76"/>
      <c r="G74" s="76"/>
      <c r="H74" s="76"/>
      <c r="I74" s="76"/>
      <c r="J74" s="76"/>
      <c r="K74" s="76"/>
    </row>
    <row r="75" spans="1:11" x14ac:dyDescent="0.15">
      <c r="A75" s="76"/>
      <c r="B75" s="76"/>
      <c r="C75" s="76"/>
      <c r="D75" s="76"/>
      <c r="E75" s="76"/>
      <c r="F75" s="76"/>
      <c r="G75" s="76"/>
      <c r="H75" s="76"/>
      <c r="I75" s="76"/>
      <c r="J75" s="76"/>
      <c r="K75" s="76"/>
    </row>
    <row r="76" spans="1:11" x14ac:dyDescent="0.15">
      <c r="A76" s="76"/>
      <c r="B76" s="76"/>
      <c r="C76" s="76"/>
      <c r="D76" s="76"/>
      <c r="E76" s="76"/>
      <c r="F76" s="76"/>
      <c r="G76" s="76"/>
      <c r="H76" s="76"/>
      <c r="I76" s="76"/>
      <c r="J76" s="76"/>
      <c r="K76" s="76"/>
    </row>
    <row r="77" spans="1:11" x14ac:dyDescent="0.15">
      <c r="A77" s="76"/>
      <c r="B77" s="76"/>
      <c r="C77" s="76"/>
      <c r="D77" s="76"/>
      <c r="E77" s="76"/>
      <c r="F77" s="76"/>
      <c r="G77" s="76"/>
      <c r="H77" s="76"/>
      <c r="I77" s="76"/>
      <c r="J77" s="76"/>
      <c r="K77" s="76"/>
    </row>
    <row r="78" spans="1:11" x14ac:dyDescent="0.15">
      <c r="A78" s="76"/>
      <c r="B78" s="76"/>
      <c r="C78" s="76"/>
      <c r="D78" s="76"/>
      <c r="E78" s="76"/>
      <c r="F78" s="76"/>
      <c r="G78" s="76"/>
      <c r="H78" s="76"/>
      <c r="I78" s="76"/>
      <c r="J78" s="76"/>
      <c r="K78" s="76"/>
    </row>
    <row r="79" spans="1:11" x14ac:dyDescent="0.15">
      <c r="A79" s="76"/>
      <c r="B79" s="76"/>
      <c r="C79" s="76"/>
      <c r="D79" s="76"/>
      <c r="E79" s="76"/>
      <c r="F79" s="76"/>
      <c r="G79" s="76"/>
      <c r="H79" s="76"/>
      <c r="I79" s="76"/>
      <c r="J79" s="76"/>
      <c r="K79" s="76"/>
    </row>
    <row r="80" spans="1:11" x14ac:dyDescent="0.15">
      <c r="A80" s="76"/>
      <c r="B80" s="76"/>
      <c r="C80" s="76"/>
      <c r="D80" s="76"/>
      <c r="E80" s="76"/>
      <c r="F80" s="76"/>
      <c r="G80" s="76"/>
      <c r="H80" s="76"/>
      <c r="I80" s="76"/>
      <c r="J80" s="76"/>
      <c r="K80" s="76"/>
    </row>
  </sheetData>
  <mergeCells count="2">
    <mergeCell ref="B20:C20"/>
    <mergeCell ref="B35:E40"/>
  </mergeCells>
  <conditionalFormatting sqref="I25:I30">
    <cfRule type="cellIs" dxfId="154" priority="13" operator="equal">
      <formula>"Normal"</formula>
    </cfRule>
    <cfRule type="cellIs" dxfId="153" priority="14" operator="equal">
      <formula>"Significant"</formula>
    </cfRule>
    <cfRule type="iconSet" priority="15">
      <iconSet iconSet="3Symbols2">
        <cfvo type="percent" val="0"/>
        <cfvo type="percent" val="33"/>
        <cfvo type="percent" val="67"/>
      </iconSet>
    </cfRule>
  </conditionalFormatting>
  <conditionalFormatting sqref="V39:V44">
    <cfRule type="cellIs" dxfId="152" priority="7" operator="equal">
      <formula>"Normal"</formula>
    </cfRule>
    <cfRule type="cellIs" dxfId="151" priority="8" operator="equal">
      <formula>"Significant"</formula>
    </cfRule>
    <cfRule type="iconSet" priority="9">
      <iconSet iconSet="3Symbols2">
        <cfvo type="percent" val="0"/>
        <cfvo type="percent" val="33"/>
        <cfvo type="percent" val="67"/>
      </iconSet>
    </cfRule>
  </conditionalFormatting>
  <conditionalFormatting sqref="V25:V36">
    <cfRule type="cellIs" dxfId="150" priority="4" operator="equal">
      <formula>"Normal"</formula>
    </cfRule>
    <cfRule type="cellIs" dxfId="149" priority="5" operator="equal">
      <formula>"Significant"</formula>
    </cfRule>
    <cfRule type="iconSet" priority="6">
      <iconSet iconSet="3Symbols2">
        <cfvo type="percent" val="0"/>
        <cfvo type="percent" val="33"/>
        <cfvo type="percent" val="67"/>
      </iconSet>
    </cfRule>
  </conditionalFormatting>
  <conditionalFormatting sqref="I63:I68">
    <cfRule type="cellIs" dxfId="148" priority="1" operator="equal">
      <formula>"Normal"</formula>
    </cfRule>
    <cfRule type="cellIs" dxfId="147" priority="2" operator="equal">
      <formula>"Significant"</formula>
    </cfRule>
    <cfRule type="iconSet" priority="3">
      <iconSet iconSet="3Symbols2">
        <cfvo type="percent" val="0"/>
        <cfvo type="percent" val="33"/>
        <cfvo type="percent" val="67"/>
      </iconSet>
    </cfRule>
  </conditionalFormatting>
  <pageMargins left="0.7" right="0.7" top="0.75" bottom="0.75" header="0.3" footer="0.3"/>
  <pageSetup paperSize="9" orientation="portrait" horizontalDpi="300"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B0B57FE-D2B2-47D5-BCAF-39B1B343A65A}">
          <x14:formula1>
            <xm:f>'Do Not Edit'!$Q$140:$Q$141</xm:f>
          </x14:formula1>
          <xm:sqref>F4</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3ED76-937C-4D95-967D-7659F4C9230D}">
  <sheetPr>
    <tabColor rgb="FFFF5050"/>
  </sheetPr>
  <dimension ref="A1:AA140"/>
  <sheetViews>
    <sheetView topLeftCell="A13" zoomScale="130" zoomScaleNormal="130" workbookViewId="0">
      <selection activeCell="H83" sqref="H83"/>
    </sheetView>
  </sheetViews>
  <sheetFormatPr baseColWidth="10" defaultColWidth="9.1640625" defaultRowHeight="14" x14ac:dyDescent="0.15"/>
  <cols>
    <col min="1" max="1" width="32" style="14" customWidth="1"/>
    <col min="2" max="5" width="14.83203125" style="14" customWidth="1"/>
    <col min="6" max="12" width="9.1640625" style="14"/>
    <col min="13" max="13" width="9.5" style="14" customWidth="1"/>
    <col min="14" max="16384" width="9.1640625" style="14"/>
  </cols>
  <sheetData>
    <row r="1" spans="1:27" ht="30" x14ac:dyDescent="0.15">
      <c r="A1" s="252" t="s">
        <v>1</v>
      </c>
      <c r="B1" s="253" t="s">
        <v>178</v>
      </c>
      <c r="C1" s="254" t="s">
        <v>3</v>
      </c>
      <c r="D1" s="254" t="s">
        <v>41</v>
      </c>
      <c r="E1" s="254" t="s">
        <v>4</v>
      </c>
      <c r="F1" s="255" t="s">
        <v>64</v>
      </c>
      <c r="G1" s="76"/>
      <c r="H1" s="76"/>
      <c r="I1" s="76"/>
      <c r="J1" s="76"/>
      <c r="K1" s="76"/>
      <c r="L1" s="76"/>
      <c r="M1" s="76"/>
      <c r="N1" s="76"/>
      <c r="O1" s="76"/>
      <c r="P1" s="76"/>
      <c r="Q1" s="76"/>
      <c r="R1" s="76"/>
      <c r="S1" s="76"/>
      <c r="T1" s="76"/>
      <c r="U1" s="76"/>
      <c r="V1" s="76"/>
      <c r="W1" s="76"/>
      <c r="X1" s="76"/>
      <c r="Y1" s="76"/>
      <c r="Z1" s="76"/>
      <c r="AA1" s="76"/>
    </row>
    <row r="2" spans="1:27" ht="15" x14ac:dyDescent="0.15">
      <c r="A2" s="257" t="s">
        <v>5</v>
      </c>
      <c r="B2" s="46">
        <f>TOPF!E13</f>
        <v>103.13976599999997</v>
      </c>
      <c r="C2" s="23" t="str">
        <f t="shared" ref="C2:C9" si="0">IF(B2&lt;58,"1",(IF(AND(B2&gt;=58,B2&lt;63),"2",(IF(AND(B2&gt;=63,B2&lt;68),"3",(IF(AND(B2&gt;=68,B2&lt;73),"4",(IF(AND(B2&gt;=73,B2&lt;78),"5",(IF(AND(B2&gt;=78,B2&lt;83),"6",(IF(AND(B2&gt;=83,B2&lt;88),"7",(IF(AND(B2&gt;=88,B2&lt;93),"8",(IF(AND(B2&gt;=93,B2&lt;98),"9",(IF(AND(B2&gt;=98,B2&lt;103),"10",(IF(AND(B2&gt;=103,B2&lt;108),"11",(IF(AND(B2&gt;=108,B2&lt;113),"12",(IF(AND(B2&gt;=113,B2&lt;118),"13",(IF(AND(B2&gt;=118,B2&lt;123),"14",(IF(AND(B2&gt;=123,B2&lt;128),"15",(IF(AND(B2&gt;=128,B2&lt;133),"16",(IF(AND(B2&gt;=133,B2&lt;138),"17",(IF(AND(B2&gt;=138,B2&lt;143),"18","19")))))))))))))))))))))))))))))))))))</f>
        <v>11</v>
      </c>
      <c r="D2" s="258">
        <f t="shared" ref="D2:D9" si="1">_xlfn.NORM.S.DIST(F2,TRUE)</f>
        <v>0.58289989540363751</v>
      </c>
      <c r="E2" s="3" t="str">
        <f t="shared" ref="E2:E9" si="2">IF(B2&lt;70,"Extremely Low", (IF(AND(B2&gt;=70,B2&lt;80),"Borderline",(IF(AND(B2&gt;=80,B2&lt;90),"Low Average",(IF(AND(B2&gt;=90,B2&lt;110),"Average",(IF(AND(B2&gt;=110,B2&lt;120),"High Average",(IF(AND(B2&gt;=120,B2&lt;130),"Superior","Very Superior")))))))))))</f>
        <v>Average</v>
      </c>
      <c r="F2" s="4">
        <f t="shared" ref="F2:F9" si="3">(B2-100)/15</f>
        <v>0.20931773333333106</v>
      </c>
      <c r="G2" s="76"/>
      <c r="H2" s="76"/>
      <c r="I2" s="76"/>
      <c r="J2" s="76"/>
      <c r="K2" s="76"/>
      <c r="L2" s="76"/>
      <c r="M2" s="76"/>
      <c r="N2" s="76"/>
      <c r="O2" s="76"/>
      <c r="P2" s="76"/>
      <c r="Q2" s="76"/>
      <c r="R2" s="76"/>
      <c r="S2" s="76"/>
      <c r="T2" s="76"/>
      <c r="U2" s="76"/>
      <c r="V2" s="76"/>
      <c r="W2" s="76"/>
      <c r="X2" s="76"/>
      <c r="Y2" s="76"/>
      <c r="Z2" s="76"/>
      <c r="AA2" s="76"/>
    </row>
    <row r="3" spans="1:27" ht="15" x14ac:dyDescent="0.15">
      <c r="A3" s="257" t="s">
        <v>225</v>
      </c>
      <c r="B3" s="47">
        <f>TOPF!E14</f>
        <v>103.64353100000001</v>
      </c>
      <c r="C3" s="23" t="str">
        <f t="shared" si="0"/>
        <v>11</v>
      </c>
      <c r="D3" s="258">
        <f t="shared" si="1"/>
        <v>0.59595936772835367</v>
      </c>
      <c r="E3" s="3" t="str">
        <f t="shared" si="2"/>
        <v>Average</v>
      </c>
      <c r="F3" s="4">
        <f t="shared" si="3"/>
        <v>0.24290206666666733</v>
      </c>
      <c r="G3" s="76"/>
      <c r="H3" s="76"/>
      <c r="I3" s="76"/>
      <c r="J3" s="76"/>
      <c r="K3" s="76"/>
      <c r="L3" s="76"/>
      <c r="M3" s="76"/>
      <c r="N3" s="76"/>
      <c r="O3" s="76"/>
      <c r="P3" s="76"/>
      <c r="Q3" s="76"/>
      <c r="R3" s="76"/>
      <c r="S3" s="76"/>
      <c r="T3" s="76"/>
      <c r="U3" s="76"/>
      <c r="V3" s="76"/>
      <c r="W3" s="76"/>
      <c r="X3" s="76"/>
      <c r="Y3" s="76"/>
      <c r="Z3" s="76"/>
      <c r="AA3" s="76"/>
    </row>
    <row r="4" spans="1:27" ht="15" x14ac:dyDescent="0.15">
      <c r="A4" s="257" t="s">
        <v>226</v>
      </c>
      <c r="B4" s="47">
        <f>TOPF!E15</f>
        <v>100.8764848</v>
      </c>
      <c r="C4" s="23" t="str">
        <f t="shared" si="0"/>
        <v>10</v>
      </c>
      <c r="D4" s="258">
        <f t="shared" si="1"/>
        <v>0.52329786444654802</v>
      </c>
      <c r="E4" s="3" t="str">
        <f t="shared" si="2"/>
        <v>Average</v>
      </c>
      <c r="F4" s="4">
        <f t="shared" si="3"/>
        <v>5.8432320000000003E-2</v>
      </c>
      <c r="G4" s="76"/>
      <c r="H4" s="76"/>
      <c r="I4" s="76"/>
      <c r="J4" s="76"/>
      <c r="K4" s="76"/>
      <c r="L4" s="76"/>
      <c r="M4" s="76"/>
      <c r="N4" s="76"/>
      <c r="O4" s="76"/>
      <c r="P4" s="76"/>
      <c r="Q4" s="76"/>
      <c r="R4" s="76"/>
      <c r="S4" s="76"/>
      <c r="T4" s="76"/>
      <c r="U4" s="76"/>
      <c r="V4" s="76"/>
      <c r="W4" s="76"/>
      <c r="X4" s="76"/>
      <c r="Y4" s="76"/>
      <c r="Z4" s="76"/>
      <c r="AA4" s="76"/>
    </row>
    <row r="5" spans="1:27" ht="15" x14ac:dyDescent="0.15">
      <c r="A5" s="257" t="s">
        <v>227</v>
      </c>
      <c r="B5" s="47">
        <f>TOPF!E16</f>
        <v>103.93426599999999</v>
      </c>
      <c r="C5" s="23" t="str">
        <f t="shared" si="0"/>
        <v>11</v>
      </c>
      <c r="D5" s="258">
        <f t="shared" si="1"/>
        <v>0.6034489059274909</v>
      </c>
      <c r="E5" s="3" t="str">
        <f t="shared" si="2"/>
        <v>Average</v>
      </c>
      <c r="F5" s="4">
        <f t="shared" si="3"/>
        <v>0.26228439999999958</v>
      </c>
      <c r="G5" s="76"/>
      <c r="H5" s="76"/>
      <c r="I5" s="76"/>
      <c r="J5" s="76"/>
      <c r="K5" s="76"/>
      <c r="L5" s="76"/>
      <c r="M5" s="76"/>
      <c r="N5" s="76"/>
      <c r="O5" s="76"/>
      <c r="P5" s="76"/>
      <c r="Q5" s="76"/>
      <c r="R5" s="76"/>
      <c r="S5" s="76"/>
      <c r="T5" s="76"/>
      <c r="U5" s="76"/>
      <c r="V5" s="76"/>
      <c r="W5" s="76"/>
      <c r="X5" s="76"/>
      <c r="Y5" s="76"/>
      <c r="Z5" s="76"/>
      <c r="AA5" s="76"/>
    </row>
    <row r="6" spans="1:27" ht="15" x14ac:dyDescent="0.15">
      <c r="A6" s="257" t="s">
        <v>228</v>
      </c>
      <c r="B6" s="47">
        <f>TOPF!E17</f>
        <v>101.67490500000004</v>
      </c>
      <c r="C6" s="23" t="str">
        <f t="shared" si="0"/>
        <v>10</v>
      </c>
      <c r="D6" s="258">
        <f t="shared" si="1"/>
        <v>0.54445363400348001</v>
      </c>
      <c r="E6" s="3" t="str">
        <f t="shared" si="2"/>
        <v>Average</v>
      </c>
      <c r="F6" s="4">
        <f t="shared" si="3"/>
        <v>0.11166033333333587</v>
      </c>
      <c r="G6" s="76"/>
      <c r="H6" s="76"/>
      <c r="I6" s="76"/>
      <c r="J6" s="76"/>
      <c r="K6" s="76"/>
      <c r="L6" s="76"/>
      <c r="M6" s="76"/>
      <c r="N6" s="76"/>
      <c r="O6" s="76"/>
      <c r="P6" s="76"/>
      <c r="Q6" s="76"/>
      <c r="R6" s="76"/>
      <c r="S6" s="76"/>
      <c r="T6" s="76"/>
      <c r="U6" s="76"/>
      <c r="V6" s="76"/>
      <c r="W6" s="76"/>
      <c r="X6" s="76"/>
      <c r="Y6" s="76"/>
      <c r="Z6" s="76"/>
      <c r="AA6" s="76"/>
    </row>
    <row r="7" spans="1:27" ht="15" x14ac:dyDescent="0.15">
      <c r="A7" s="257" t="s">
        <v>6</v>
      </c>
      <c r="B7" s="46">
        <f>TOPF!J13</f>
        <v>105.4067</v>
      </c>
      <c r="C7" s="23" t="str">
        <f t="shared" si="0"/>
        <v>11</v>
      </c>
      <c r="D7" s="258">
        <f t="shared" si="1"/>
        <v>0.64074343318901383</v>
      </c>
      <c r="E7" s="3" t="str">
        <f t="shared" si="2"/>
        <v>Average</v>
      </c>
      <c r="F7" s="4">
        <f t="shared" si="3"/>
        <v>0.36044666666666669</v>
      </c>
      <c r="G7" s="76"/>
      <c r="H7" s="76"/>
      <c r="I7" s="76"/>
      <c r="J7" s="76"/>
      <c r="K7" s="76"/>
      <c r="L7" s="76"/>
      <c r="M7" s="76"/>
      <c r="N7" s="76"/>
      <c r="O7" s="76"/>
      <c r="P7" s="76"/>
      <c r="Q7" s="76"/>
      <c r="R7" s="76"/>
      <c r="S7" s="76"/>
      <c r="T7" s="76"/>
      <c r="U7" s="76"/>
      <c r="V7" s="76"/>
      <c r="W7" s="76"/>
      <c r="X7" s="76"/>
      <c r="Y7" s="76"/>
      <c r="Z7" s="76"/>
      <c r="AA7" s="76"/>
    </row>
    <row r="8" spans="1:27" x14ac:dyDescent="0.15">
      <c r="A8" s="94" t="s">
        <v>7</v>
      </c>
      <c r="B8" s="46">
        <f>TOPF!J14</f>
        <v>105.26920000000001</v>
      </c>
      <c r="C8" s="23" t="str">
        <f t="shared" si="0"/>
        <v>11</v>
      </c>
      <c r="D8" s="258">
        <f t="shared" si="1"/>
        <v>0.63731085111571373</v>
      </c>
      <c r="E8" s="3" t="str">
        <f t="shared" si="2"/>
        <v>Average</v>
      </c>
      <c r="F8" s="4">
        <f t="shared" si="3"/>
        <v>0.35128000000000081</v>
      </c>
      <c r="G8" s="76"/>
      <c r="H8" s="76"/>
      <c r="I8" s="76"/>
      <c r="J8" s="76"/>
      <c r="K8" s="76"/>
      <c r="L8" s="76"/>
      <c r="M8" s="76"/>
      <c r="N8" s="76"/>
      <c r="O8" s="76"/>
      <c r="P8" s="76"/>
      <c r="Q8" s="76"/>
      <c r="R8" s="76"/>
      <c r="S8" s="76"/>
      <c r="T8" s="76"/>
      <c r="U8" s="76"/>
      <c r="V8" s="76"/>
      <c r="W8" s="76"/>
      <c r="X8" s="76"/>
      <c r="Y8" s="76"/>
      <c r="Z8" s="76"/>
      <c r="AA8" s="76"/>
    </row>
    <row r="9" spans="1:27" x14ac:dyDescent="0.15">
      <c r="A9" s="94" t="s">
        <v>259</v>
      </c>
      <c r="B9" s="46">
        <f>TOPF!J15</f>
        <v>107.6379</v>
      </c>
      <c r="C9" s="23" t="str">
        <f t="shared" si="0"/>
        <v>11</v>
      </c>
      <c r="D9" s="258">
        <f t="shared" si="1"/>
        <v>0.69469164221870272</v>
      </c>
      <c r="E9" s="3" t="str">
        <f t="shared" si="2"/>
        <v>Average</v>
      </c>
      <c r="F9" s="4">
        <f t="shared" si="3"/>
        <v>0.5091933333333335</v>
      </c>
      <c r="G9" s="76"/>
      <c r="H9" s="76"/>
      <c r="I9" s="76"/>
      <c r="J9" s="76"/>
      <c r="K9" s="76"/>
      <c r="L9" s="76"/>
      <c r="M9" s="76"/>
      <c r="N9" s="76"/>
      <c r="O9" s="76"/>
      <c r="P9" s="76"/>
      <c r="Q9" s="76"/>
      <c r="R9" s="76"/>
      <c r="S9" s="76"/>
      <c r="T9" s="76"/>
      <c r="U9" s="76"/>
      <c r="V9" s="76"/>
      <c r="W9" s="76"/>
      <c r="X9" s="76"/>
      <c r="Y9" s="76"/>
      <c r="Z9" s="76"/>
      <c r="AA9" s="76"/>
    </row>
    <row r="10" spans="1:27" x14ac:dyDescent="0.15">
      <c r="A10" s="72"/>
      <c r="B10" s="288"/>
      <c r="C10" s="23"/>
      <c r="D10" s="258"/>
      <c r="E10" s="3"/>
      <c r="F10" s="301"/>
      <c r="G10" s="76"/>
      <c r="H10" s="76"/>
      <c r="I10" s="76"/>
      <c r="J10" s="76"/>
      <c r="K10" s="76"/>
      <c r="L10" s="76"/>
      <c r="M10" s="76"/>
      <c r="N10" s="76"/>
      <c r="O10" s="76"/>
      <c r="P10" s="76"/>
      <c r="Q10" s="76"/>
      <c r="R10" s="76"/>
      <c r="S10" s="76"/>
      <c r="T10" s="76"/>
      <c r="U10" s="76"/>
      <c r="V10" s="76"/>
      <c r="W10" s="76"/>
      <c r="X10" s="76"/>
      <c r="Y10" s="76"/>
      <c r="Z10" s="76"/>
      <c r="AA10" s="76"/>
    </row>
    <row r="11" spans="1:27" ht="15" x14ac:dyDescent="0.2">
      <c r="A11" s="302" t="s">
        <v>147</v>
      </c>
      <c r="B11" s="303" t="s">
        <v>148</v>
      </c>
      <c r="C11" s="304" t="s">
        <v>41</v>
      </c>
      <c r="D11" s="305"/>
      <c r="E11" s="28"/>
      <c r="F11" s="76"/>
      <c r="G11" s="76"/>
      <c r="H11" s="76"/>
      <c r="I11" s="76"/>
      <c r="J11" s="76"/>
      <c r="K11" s="76"/>
      <c r="L11" s="76"/>
      <c r="M11" s="76"/>
      <c r="N11" s="76"/>
      <c r="O11" s="76"/>
      <c r="P11" s="76"/>
      <c r="Q11" s="76"/>
      <c r="R11" s="76"/>
      <c r="S11" s="76"/>
      <c r="T11" s="76"/>
      <c r="U11" s="76"/>
      <c r="V11" s="76"/>
      <c r="W11" s="76"/>
      <c r="X11" s="76"/>
      <c r="Y11" s="76"/>
      <c r="Z11" s="76"/>
      <c r="AA11" s="76"/>
    </row>
    <row r="12" spans="1:27" ht="15" x14ac:dyDescent="0.2">
      <c r="A12" s="306" t="s">
        <v>149</v>
      </c>
      <c r="B12" s="273"/>
      <c r="C12" s="265"/>
      <c r="D12" s="29"/>
      <c r="E12" s="2"/>
      <c r="F12" s="76"/>
      <c r="G12" s="76"/>
      <c r="H12" s="76"/>
      <c r="I12" s="76"/>
      <c r="J12" s="76"/>
      <c r="K12" s="76"/>
      <c r="L12" s="76"/>
      <c r="M12" s="76"/>
      <c r="N12" s="76"/>
      <c r="O12" s="76"/>
      <c r="P12" s="76"/>
      <c r="Q12" s="76"/>
      <c r="R12" s="76"/>
      <c r="S12" s="76"/>
      <c r="T12" s="76"/>
      <c r="U12" s="76"/>
      <c r="V12" s="76"/>
      <c r="W12" s="76"/>
      <c r="X12" s="76"/>
      <c r="Y12" s="76"/>
      <c r="Z12" s="76"/>
      <c r="AA12" s="76"/>
    </row>
    <row r="13" spans="1:27" ht="30" x14ac:dyDescent="0.15">
      <c r="A13" s="280" t="s">
        <v>85</v>
      </c>
      <c r="B13" s="280" t="s">
        <v>86</v>
      </c>
      <c r="C13" s="278" t="s">
        <v>40</v>
      </c>
      <c r="D13" s="278" t="s">
        <v>4</v>
      </c>
      <c r="E13" s="307" t="s">
        <v>10</v>
      </c>
      <c r="F13" s="76"/>
      <c r="G13" s="76"/>
      <c r="H13" s="76"/>
      <c r="I13" s="76"/>
      <c r="J13" s="76"/>
      <c r="K13" s="76"/>
      <c r="L13" s="76"/>
      <c r="M13" s="76"/>
      <c r="N13" s="76"/>
      <c r="O13" s="76"/>
      <c r="P13" s="76"/>
      <c r="Q13" s="76"/>
      <c r="R13" s="76"/>
      <c r="S13" s="76"/>
      <c r="T13" s="76"/>
      <c r="U13" s="76"/>
      <c r="V13" s="76"/>
      <c r="W13" s="76"/>
      <c r="X13" s="76"/>
      <c r="Y13" s="76"/>
      <c r="Z13" s="76"/>
      <c r="AA13" s="76"/>
    </row>
    <row r="14" spans="1:27" ht="15" x14ac:dyDescent="0.15">
      <c r="A14" s="257" t="s">
        <v>87</v>
      </c>
      <c r="B14" s="273"/>
      <c r="C14" s="265"/>
      <c r="D14" s="3" t="str">
        <f>IF(C14&lt;4,"Extremely Low", (IF(AND(C14&gt;=4,C14&lt;6),"Borderline",(IF(AND(C14&gt;=6,C14&lt;8),"Low Average",(IF(AND(C14&gt;=8,C14&lt;12),"Average",(IF(AND(C14&gt;=12,C14&lt;14),"High Average",(IF(AND(C14&gt;=14,C14&lt;16),"Superior","Very Superior")))))))))))</f>
        <v>Extremely Low</v>
      </c>
      <c r="E14" s="22">
        <f>C14-'Standard Tests'!$C$6</f>
        <v>-11</v>
      </c>
      <c r="F14" s="76"/>
      <c r="G14" s="76"/>
      <c r="H14" s="76"/>
      <c r="I14" s="76"/>
      <c r="J14" s="76"/>
      <c r="K14" s="76"/>
      <c r="L14" s="76"/>
      <c r="M14" s="76"/>
      <c r="N14" s="76"/>
      <c r="O14" s="76"/>
      <c r="P14" s="76"/>
      <c r="Q14" s="76"/>
      <c r="R14" s="76"/>
      <c r="S14" s="76"/>
      <c r="T14" s="76"/>
      <c r="U14" s="76"/>
      <c r="V14" s="76"/>
      <c r="W14" s="76"/>
      <c r="X14" s="76"/>
      <c r="Y14" s="76"/>
      <c r="Z14" s="76"/>
      <c r="AA14" s="76"/>
    </row>
    <row r="15" spans="1:27" ht="15" x14ac:dyDescent="0.15">
      <c r="A15" s="257" t="s">
        <v>88</v>
      </c>
      <c r="B15" s="273"/>
      <c r="C15" s="265"/>
      <c r="D15" s="3" t="str">
        <f>IF(C15&lt;4,"Extremely Low", (IF(AND(C15&gt;=4,C15&lt;6),"Borderline",(IF(AND(C15&gt;=6,C15&lt;8),"Low Average",(IF(AND(C15&gt;=8,C15&lt;12),"Average",(IF(AND(C15&gt;=12,C15&lt;14),"High Average",(IF(AND(C15&gt;=14,C15&lt;16),"Superior","Very Superior")))))))))))</f>
        <v>Extremely Low</v>
      </c>
      <c r="E15" s="22">
        <f>C15-'Standard Tests'!$C$6</f>
        <v>-11</v>
      </c>
      <c r="F15" s="76"/>
      <c r="G15" s="76"/>
      <c r="H15" s="76"/>
      <c r="I15" s="76"/>
      <c r="J15" s="76"/>
      <c r="K15" s="76"/>
      <c r="L15" s="76"/>
      <c r="M15" s="76"/>
      <c r="N15" s="76"/>
      <c r="O15" s="76"/>
      <c r="P15" s="76"/>
      <c r="Q15" s="76"/>
      <c r="R15" s="76"/>
      <c r="S15" s="76"/>
      <c r="T15" s="76"/>
      <c r="U15" s="76"/>
      <c r="V15" s="76"/>
      <c r="W15" s="76"/>
      <c r="X15" s="76"/>
      <c r="Y15" s="76"/>
      <c r="Z15" s="76"/>
      <c r="AA15" s="76"/>
    </row>
    <row r="16" spans="1:27" ht="15" x14ac:dyDescent="0.15">
      <c r="A16" s="257" t="s">
        <v>89</v>
      </c>
      <c r="B16" s="273"/>
      <c r="C16" s="265"/>
      <c r="D16" s="3" t="str">
        <f>IF(C16&lt;4,"Extremely Low", (IF(AND(C16&gt;=4,C16&lt;6),"Borderline",(IF(AND(C16&gt;=6,C16&lt;8),"Low Average",(IF(AND(C16&gt;=8,C16&lt;12),"Average",(IF(AND(C16&gt;=12,C16&lt;14),"High Average",(IF(AND(C16&gt;=14,C16&lt;16),"Superior","Very Superior")))))))))))</f>
        <v>Extremely Low</v>
      </c>
      <c r="E16" s="22">
        <f>C16-'Standard Tests'!$C$6</f>
        <v>-11</v>
      </c>
      <c r="F16" s="76"/>
      <c r="G16" s="76"/>
      <c r="H16" s="76"/>
      <c r="I16" s="76"/>
      <c r="J16" s="76"/>
      <c r="K16" s="76"/>
      <c r="L16" s="76"/>
      <c r="M16" s="76"/>
      <c r="N16" s="76"/>
      <c r="O16" s="76"/>
      <c r="P16" s="76"/>
      <c r="Q16" s="76"/>
      <c r="R16" s="76"/>
      <c r="S16" s="76"/>
      <c r="T16" s="76"/>
      <c r="U16" s="76"/>
      <c r="V16" s="76"/>
      <c r="W16" s="76"/>
      <c r="X16" s="76"/>
      <c r="Y16" s="76"/>
      <c r="Z16" s="76"/>
      <c r="AA16" s="76"/>
    </row>
    <row r="17" spans="1:27" ht="15" x14ac:dyDescent="0.15">
      <c r="A17" s="257" t="s">
        <v>90</v>
      </c>
      <c r="B17" s="273"/>
      <c r="C17" s="265"/>
      <c r="D17" s="3" t="str">
        <f>IF(C17&lt;4,"Extremely Low", (IF(AND(C17&gt;=4,C17&lt;6),"Borderline",(IF(AND(C17&gt;=6,C17&lt;8),"Low Average",(IF(AND(C17&gt;=8,C17&lt;12),"Average",(IF(AND(C17&gt;=12,C17&lt;14),"High Average",(IF(AND(C17&gt;=14,C17&lt;16),"Superior","Very Superior")))))))))))</f>
        <v>Extremely Low</v>
      </c>
      <c r="E17" s="22">
        <f>C17-'Standard Tests'!$C$6</f>
        <v>-11</v>
      </c>
      <c r="F17" s="76"/>
      <c r="G17" s="76"/>
      <c r="H17" s="76"/>
      <c r="I17" s="76"/>
      <c r="J17" s="76"/>
      <c r="K17" s="76"/>
      <c r="L17" s="76"/>
      <c r="M17" s="76"/>
      <c r="N17" s="76"/>
      <c r="O17" s="76"/>
      <c r="P17" s="76"/>
      <c r="Q17" s="76"/>
      <c r="R17" s="76"/>
      <c r="S17" s="76"/>
      <c r="T17" s="76"/>
      <c r="U17" s="76"/>
      <c r="V17" s="76"/>
      <c r="W17" s="76"/>
      <c r="X17" s="76"/>
      <c r="Y17" s="76"/>
      <c r="Z17" s="76"/>
      <c r="AA17" s="76"/>
    </row>
    <row r="18" spans="1:27" ht="30" x14ac:dyDescent="0.15">
      <c r="A18" s="280" t="s">
        <v>91</v>
      </c>
      <c r="B18" s="280" t="s">
        <v>39</v>
      </c>
      <c r="C18" s="278" t="s">
        <v>40</v>
      </c>
      <c r="D18" s="278" t="s">
        <v>4</v>
      </c>
      <c r="E18" s="307" t="s">
        <v>10</v>
      </c>
      <c r="F18" s="76"/>
      <c r="G18" s="76"/>
      <c r="H18" s="76"/>
      <c r="I18" s="76"/>
      <c r="J18" s="76"/>
      <c r="K18" s="76"/>
      <c r="L18" s="76"/>
      <c r="M18" s="76"/>
      <c r="N18" s="76"/>
      <c r="O18" s="76"/>
      <c r="P18" s="76"/>
      <c r="Q18" s="76"/>
      <c r="R18" s="76"/>
      <c r="S18" s="76"/>
      <c r="T18" s="76"/>
      <c r="U18" s="76"/>
      <c r="V18" s="76"/>
      <c r="W18" s="76"/>
      <c r="X18" s="76"/>
      <c r="Y18" s="76"/>
      <c r="Z18" s="76"/>
      <c r="AA18" s="76"/>
    </row>
    <row r="19" spans="1:27" ht="15" x14ac:dyDescent="0.15">
      <c r="A19" s="257" t="s">
        <v>92</v>
      </c>
      <c r="B19" s="273"/>
      <c r="C19" s="265"/>
      <c r="D19" s="3" t="str">
        <f>IF(C19&lt;4,"Extremely Low", (IF(AND(C19&gt;=4,C19&lt;6),"Borderline",(IF(AND(C19&gt;=6,C19&lt;8),"Low Average",(IF(AND(C19&gt;=8,C19&lt;12),"Average",(IF(AND(C19&gt;=12,C19&lt;14),"High Average",(IF(AND(C19&gt;=14,C19&lt;16),"Superior","Very Superior")))))))))))</f>
        <v>Extremely Low</v>
      </c>
      <c r="E19" s="22">
        <f>C19-'Standard Tests'!$C$6</f>
        <v>-11</v>
      </c>
      <c r="F19" s="76"/>
      <c r="G19" s="76"/>
      <c r="H19" s="76"/>
      <c r="I19" s="76"/>
      <c r="J19" s="76"/>
      <c r="K19" s="76"/>
      <c r="L19" s="76"/>
      <c r="M19" s="76"/>
      <c r="N19" s="76"/>
      <c r="O19" s="76"/>
      <c r="P19" s="76"/>
      <c r="Q19" s="76"/>
      <c r="R19" s="76"/>
      <c r="S19" s="76"/>
      <c r="T19" s="76"/>
      <c r="U19" s="76"/>
      <c r="V19" s="76"/>
      <c r="W19" s="76"/>
      <c r="X19" s="76"/>
      <c r="Y19" s="76"/>
      <c r="Z19" s="76"/>
      <c r="AA19" s="76"/>
    </row>
    <row r="20" spans="1:27" ht="15" x14ac:dyDescent="0.15">
      <c r="A20" s="257" t="s">
        <v>93</v>
      </c>
      <c r="B20" s="273"/>
      <c r="C20" s="265"/>
      <c r="D20" s="3" t="str">
        <f>IF(C20&lt;4,"Extremely Low", (IF(AND(C20&gt;=4,C20&lt;6),"Borderline",(IF(AND(C20&gt;=6,C20&lt;8),"Low Average",(IF(AND(C20&gt;=8,C20&lt;12),"Average",(IF(AND(C20&gt;=12,C20&lt;14),"High Average",(IF(AND(C20&gt;=14,C20&lt;16),"Superior","Very Superior")))))))))))</f>
        <v>Extremely Low</v>
      </c>
      <c r="E20" s="22">
        <f>C20-'Standard Tests'!$C$6</f>
        <v>-11</v>
      </c>
      <c r="F20" s="76"/>
      <c r="G20" s="76"/>
      <c r="H20" s="76"/>
      <c r="I20" s="76"/>
      <c r="J20" s="76"/>
      <c r="K20" s="76"/>
      <c r="L20" s="76"/>
      <c r="M20" s="76"/>
      <c r="N20" s="76"/>
      <c r="O20" s="76"/>
      <c r="P20" s="76"/>
      <c r="Q20" s="76"/>
      <c r="R20" s="76"/>
      <c r="S20" s="76"/>
      <c r="T20" s="76"/>
      <c r="U20" s="76"/>
      <c r="V20" s="76"/>
      <c r="W20" s="76"/>
      <c r="X20" s="76"/>
      <c r="Y20" s="76"/>
      <c r="Z20" s="76"/>
      <c r="AA20" s="76"/>
    </row>
    <row r="21" spans="1:27" ht="15" x14ac:dyDescent="0.15">
      <c r="A21" s="257" t="s">
        <v>94</v>
      </c>
      <c r="B21" s="273"/>
      <c r="C21" s="265"/>
      <c r="D21" s="3" t="str">
        <f>IF(C21&lt;4,"Extremely Low", (IF(AND(C21&gt;=4,C21&lt;6),"Borderline",(IF(AND(C21&gt;=6,C21&lt;8),"Low Average",(IF(AND(C21&gt;=8,C21&lt;12),"Average",(IF(AND(C21&gt;=12,C21&lt;14),"High Average",(IF(AND(C21&gt;=14,C21&lt;16),"Superior","Very Superior")))))))))))</f>
        <v>Extremely Low</v>
      </c>
      <c r="E21" s="22">
        <f>C21-'Standard Tests'!$C$6</f>
        <v>-11</v>
      </c>
      <c r="F21" s="76"/>
      <c r="G21" s="76"/>
      <c r="H21" s="76"/>
      <c r="I21" s="76"/>
      <c r="J21" s="76"/>
      <c r="K21" s="76"/>
      <c r="L21" s="76"/>
      <c r="M21" s="76"/>
      <c r="N21" s="76"/>
      <c r="O21" s="76"/>
      <c r="P21" s="76"/>
      <c r="Q21" s="76"/>
      <c r="R21" s="76"/>
      <c r="S21" s="76"/>
      <c r="T21" s="76"/>
      <c r="U21" s="76"/>
      <c r="V21" s="76"/>
      <c r="W21" s="76"/>
      <c r="X21" s="76"/>
      <c r="Y21" s="76"/>
      <c r="Z21" s="76"/>
      <c r="AA21" s="76"/>
    </row>
    <row r="22" spans="1:27" ht="30" x14ac:dyDescent="0.15">
      <c r="A22" s="280" t="s">
        <v>95</v>
      </c>
      <c r="B22" s="280" t="s">
        <v>39</v>
      </c>
      <c r="C22" s="268"/>
      <c r="D22" s="3"/>
      <c r="E22" s="22"/>
      <c r="F22" s="76"/>
      <c r="G22" s="76"/>
      <c r="H22" s="76"/>
      <c r="I22" s="76"/>
      <c r="J22" s="76"/>
      <c r="K22" s="76"/>
      <c r="L22" s="76"/>
      <c r="M22" s="76"/>
      <c r="N22" s="76"/>
      <c r="O22" s="76"/>
      <c r="P22" s="76"/>
      <c r="Q22" s="76"/>
      <c r="R22" s="76"/>
      <c r="S22" s="76"/>
      <c r="T22" s="76"/>
      <c r="U22" s="76"/>
      <c r="V22" s="76"/>
      <c r="W22" s="76"/>
      <c r="X22" s="76"/>
      <c r="Y22" s="76"/>
      <c r="Z22" s="76"/>
      <c r="AA22" s="76"/>
    </row>
    <row r="23" spans="1:27" ht="15" x14ac:dyDescent="0.15">
      <c r="A23" s="257" t="s">
        <v>96</v>
      </c>
      <c r="B23" s="273"/>
      <c r="C23" s="268"/>
      <c r="D23" s="3"/>
      <c r="E23" s="22"/>
      <c r="F23" s="76"/>
      <c r="G23" s="76"/>
      <c r="H23" s="76"/>
      <c r="I23" s="76"/>
      <c r="J23" s="76"/>
      <c r="K23" s="76"/>
      <c r="L23" s="76"/>
      <c r="M23" s="76"/>
      <c r="N23" s="76"/>
      <c r="O23" s="76"/>
      <c r="P23" s="76"/>
      <c r="Q23" s="76"/>
      <c r="R23" s="76"/>
      <c r="S23" s="76"/>
      <c r="T23" s="76"/>
      <c r="U23" s="76"/>
      <c r="V23" s="76"/>
      <c r="W23" s="76"/>
      <c r="X23" s="76"/>
      <c r="Y23" s="76"/>
      <c r="Z23" s="76"/>
      <c r="AA23" s="76"/>
    </row>
    <row r="24" spans="1:27" ht="15" x14ac:dyDescent="0.15">
      <c r="A24" s="257" t="s">
        <v>97</v>
      </c>
      <c r="B24" s="273"/>
      <c r="C24" s="268"/>
      <c r="D24" s="3"/>
      <c r="E24" s="22"/>
      <c r="F24" s="76"/>
      <c r="G24" s="76"/>
      <c r="H24" s="76"/>
      <c r="I24" s="76"/>
      <c r="J24" s="76"/>
      <c r="K24" s="76"/>
      <c r="L24" s="76"/>
      <c r="M24" s="76"/>
      <c r="N24" s="76"/>
      <c r="O24" s="76"/>
      <c r="P24" s="76"/>
      <c r="Q24" s="76"/>
      <c r="R24" s="76"/>
      <c r="S24" s="76"/>
      <c r="T24" s="76"/>
      <c r="U24" s="76"/>
      <c r="V24" s="76"/>
      <c r="W24" s="76"/>
      <c r="X24" s="76"/>
      <c r="Y24" s="76"/>
      <c r="Z24" s="76"/>
      <c r="AA24" s="76"/>
    </row>
    <row r="25" spans="1:27" ht="15" x14ac:dyDescent="0.15">
      <c r="A25" s="257" t="s">
        <v>98</v>
      </c>
      <c r="B25" s="273"/>
      <c r="C25" s="268"/>
      <c r="D25" s="3"/>
      <c r="E25" s="22"/>
      <c r="F25" s="76"/>
      <c r="G25" s="76"/>
      <c r="H25" s="76"/>
      <c r="I25" s="76"/>
      <c r="J25" s="76"/>
      <c r="K25" s="76"/>
      <c r="L25" s="76"/>
      <c r="M25" s="76"/>
      <c r="N25" s="76"/>
      <c r="O25" s="76"/>
      <c r="P25" s="76"/>
      <c r="Q25" s="76"/>
      <c r="R25" s="76"/>
      <c r="S25" s="76"/>
      <c r="T25" s="76"/>
      <c r="U25" s="76"/>
      <c r="V25" s="76"/>
      <c r="W25" s="76"/>
      <c r="X25" s="76"/>
      <c r="Y25" s="76"/>
      <c r="Z25" s="76"/>
      <c r="AA25" s="76"/>
    </row>
    <row r="26" spans="1:27" ht="15" x14ac:dyDescent="0.15">
      <c r="A26" s="257" t="s">
        <v>99</v>
      </c>
      <c r="B26" s="273"/>
      <c r="C26" s="268"/>
      <c r="D26" s="3"/>
      <c r="E26" s="22"/>
      <c r="F26" s="76"/>
      <c r="G26" s="76"/>
      <c r="H26" s="76"/>
      <c r="I26" s="76"/>
      <c r="J26" s="76"/>
      <c r="K26" s="76"/>
      <c r="L26" s="76"/>
      <c r="M26" s="76"/>
      <c r="N26" s="76"/>
      <c r="O26" s="76"/>
      <c r="P26" s="76"/>
      <c r="Q26" s="76"/>
      <c r="R26" s="76"/>
      <c r="S26" s="76"/>
      <c r="T26" s="76"/>
      <c r="U26" s="76"/>
      <c r="V26" s="76"/>
      <c r="W26" s="76"/>
      <c r="X26" s="76"/>
      <c r="Y26" s="76"/>
      <c r="Z26" s="76"/>
      <c r="AA26" s="76"/>
    </row>
    <row r="27" spans="1:27" ht="15" x14ac:dyDescent="0.15">
      <c r="A27" s="257" t="s">
        <v>100</v>
      </c>
      <c r="B27" s="273"/>
      <c r="C27" s="268"/>
      <c r="D27" s="23" t="s">
        <v>29</v>
      </c>
      <c r="E27" s="44" t="s">
        <v>213</v>
      </c>
      <c r="F27" s="76"/>
      <c r="G27" s="76"/>
      <c r="H27" s="76"/>
      <c r="I27" s="76"/>
      <c r="J27" s="76"/>
      <c r="K27" s="76"/>
      <c r="L27" s="76"/>
      <c r="M27" s="76"/>
      <c r="N27" s="76"/>
      <c r="O27" s="76"/>
      <c r="P27" s="76"/>
      <c r="Q27" s="76"/>
      <c r="R27" s="76"/>
      <c r="S27" s="76"/>
      <c r="T27" s="76"/>
      <c r="U27" s="76"/>
      <c r="V27" s="76"/>
      <c r="W27" s="76"/>
      <c r="X27" s="76"/>
      <c r="Y27" s="76"/>
      <c r="Z27" s="76"/>
      <c r="AA27" s="76"/>
    </row>
    <row r="28" spans="1:27" ht="15" x14ac:dyDescent="0.15">
      <c r="A28" s="257" t="s">
        <v>101</v>
      </c>
      <c r="B28" s="273"/>
      <c r="C28" s="268"/>
      <c r="D28" s="3">
        <f>SUM(B23:B28)</f>
        <v>0</v>
      </c>
      <c r="E28" s="18" t="str">
        <f>IF(D28&lt;=12,"FAIL","Pass")</f>
        <v>FAIL</v>
      </c>
      <c r="F28" s="76"/>
      <c r="G28" s="76"/>
      <c r="H28" s="76"/>
      <c r="I28" s="76"/>
      <c r="J28" s="76"/>
      <c r="K28" s="76"/>
      <c r="L28" s="76"/>
      <c r="M28" s="76"/>
      <c r="N28" s="76"/>
      <c r="O28" s="76"/>
      <c r="P28" s="76"/>
      <c r="Q28" s="76"/>
      <c r="R28" s="76"/>
      <c r="S28" s="76"/>
      <c r="T28" s="76"/>
      <c r="U28" s="76"/>
      <c r="V28" s="76"/>
      <c r="W28" s="76"/>
      <c r="X28" s="76"/>
      <c r="Y28" s="76"/>
      <c r="Z28" s="76"/>
      <c r="AA28" s="76"/>
    </row>
    <row r="29" spans="1:27" ht="15" x14ac:dyDescent="0.15">
      <c r="A29" s="308" t="s">
        <v>102</v>
      </c>
      <c r="B29" s="309"/>
      <c r="C29" s="310"/>
      <c r="D29" s="24"/>
      <c r="E29" s="25"/>
      <c r="F29" s="76"/>
      <c r="G29" s="76"/>
      <c r="H29" s="76"/>
      <c r="I29" s="76"/>
      <c r="J29" s="76"/>
      <c r="K29" s="76"/>
      <c r="L29" s="76"/>
      <c r="M29" s="76"/>
      <c r="N29" s="76"/>
      <c r="O29" s="76"/>
      <c r="P29" s="76"/>
      <c r="Q29" s="76"/>
      <c r="R29" s="76"/>
      <c r="S29" s="76"/>
      <c r="T29" s="76"/>
      <c r="U29" s="76"/>
      <c r="V29" s="76"/>
      <c r="W29" s="76"/>
      <c r="X29" s="76"/>
      <c r="Y29" s="76"/>
      <c r="Z29" s="76"/>
      <c r="AA29" s="76"/>
    </row>
    <row r="30" spans="1:27" ht="15" x14ac:dyDescent="0.15">
      <c r="A30" s="311" t="s">
        <v>103</v>
      </c>
      <c r="B30" s="273"/>
      <c r="C30" s="268"/>
      <c r="D30" s="3"/>
      <c r="E30" s="22"/>
      <c r="F30" s="76"/>
      <c r="G30" s="76"/>
      <c r="H30" s="76"/>
      <c r="I30" s="76"/>
      <c r="J30" s="76"/>
      <c r="K30" s="76"/>
      <c r="L30" s="76"/>
      <c r="M30" s="76"/>
      <c r="N30" s="76"/>
      <c r="O30" s="76"/>
      <c r="P30" s="76"/>
      <c r="Q30" s="76"/>
      <c r="R30" s="76"/>
      <c r="S30" s="76"/>
      <c r="T30" s="76"/>
      <c r="U30" s="76"/>
      <c r="V30" s="76"/>
      <c r="W30" s="76"/>
      <c r="X30" s="76"/>
      <c r="Y30" s="76"/>
      <c r="Z30" s="76"/>
      <c r="AA30" s="76"/>
    </row>
    <row r="31" spans="1:27" ht="15" x14ac:dyDescent="0.15">
      <c r="A31" s="311" t="s">
        <v>105</v>
      </c>
      <c r="B31" s="273"/>
      <c r="C31" s="268"/>
      <c r="D31" s="3"/>
      <c r="E31" s="22"/>
      <c r="F31" s="76"/>
      <c r="G31" s="76"/>
      <c r="H31" s="76"/>
      <c r="I31" s="76"/>
      <c r="J31" s="76"/>
      <c r="K31" s="76"/>
      <c r="L31" s="76"/>
      <c r="M31" s="76"/>
      <c r="N31" s="76"/>
      <c r="O31" s="76"/>
      <c r="P31" s="76"/>
      <c r="Q31" s="76"/>
      <c r="R31" s="76"/>
      <c r="S31" s="76"/>
      <c r="T31" s="76"/>
      <c r="U31" s="76"/>
      <c r="V31" s="76"/>
      <c r="W31" s="76"/>
      <c r="X31" s="76"/>
      <c r="Y31" s="76"/>
      <c r="Z31" s="76"/>
      <c r="AA31" s="76"/>
    </row>
    <row r="32" spans="1:27" ht="15" x14ac:dyDescent="0.15">
      <c r="A32" s="312" t="s">
        <v>106</v>
      </c>
      <c r="B32" s="313" t="s">
        <v>9</v>
      </c>
      <c r="C32" s="313" t="s">
        <v>3</v>
      </c>
      <c r="D32" s="313" t="s">
        <v>4</v>
      </c>
      <c r="E32" s="26" t="s">
        <v>234</v>
      </c>
      <c r="F32" s="76"/>
      <c r="G32" s="76"/>
      <c r="H32" s="76"/>
      <c r="I32" s="76"/>
      <c r="J32" s="76"/>
      <c r="K32" s="76"/>
      <c r="L32" s="76"/>
      <c r="M32" s="76"/>
      <c r="N32" s="76"/>
      <c r="O32" s="76"/>
      <c r="P32" s="76"/>
      <c r="Q32" s="76"/>
      <c r="R32" s="76"/>
      <c r="S32" s="76"/>
      <c r="T32" s="76"/>
      <c r="U32" s="76"/>
      <c r="V32" s="76"/>
      <c r="W32" s="76"/>
      <c r="X32" s="76"/>
      <c r="Y32" s="76"/>
      <c r="Z32" s="76"/>
      <c r="AA32" s="76"/>
    </row>
    <row r="33" spans="1:27" ht="15" x14ac:dyDescent="0.15">
      <c r="A33" s="314" t="s">
        <v>107</v>
      </c>
      <c r="B33" s="315"/>
      <c r="C33" s="316"/>
      <c r="D33" s="69"/>
      <c r="E33" s="22"/>
      <c r="F33" s="76"/>
      <c r="G33" s="76"/>
      <c r="H33" s="76"/>
      <c r="I33" s="76"/>
      <c r="J33" s="76"/>
      <c r="K33" s="76"/>
      <c r="L33" s="76"/>
      <c r="M33" s="76"/>
      <c r="N33" s="76"/>
      <c r="O33" s="76"/>
      <c r="P33" s="76"/>
      <c r="Q33" s="76"/>
      <c r="R33" s="76"/>
      <c r="S33" s="76"/>
      <c r="T33" s="76"/>
      <c r="U33" s="76"/>
      <c r="V33" s="76"/>
      <c r="W33" s="76"/>
      <c r="X33" s="76"/>
      <c r="Y33" s="76"/>
      <c r="Z33" s="76"/>
      <c r="AA33" s="76"/>
    </row>
    <row r="34" spans="1:27" ht="15" x14ac:dyDescent="0.15">
      <c r="A34" s="314" t="s">
        <v>108</v>
      </c>
      <c r="B34" s="139"/>
      <c r="C34" s="139"/>
      <c r="D34" s="3" t="str">
        <f>IF(C34&lt;4,"Extremely Low", (IF(AND(C34&gt;=4,C34&lt;6),"Borderline",(IF(AND(C34&gt;=6,C34&lt;8),"Low Average",(IF(AND(C34&gt;=8,C34&lt;12),"Average",(IF(AND(C34&gt;=12,C34&lt;14),"High Average",(IF(AND(C34&gt;=14,C34&lt;16),"Superior","Very Superior")))))))))))</f>
        <v>Extremely Low</v>
      </c>
      <c r="E34" s="22">
        <f>C34-'Standard Tests'!$C$7</f>
        <v>-11</v>
      </c>
      <c r="F34" s="76"/>
      <c r="G34" s="76"/>
      <c r="H34" s="76"/>
      <c r="I34" s="76"/>
      <c r="J34" s="76"/>
      <c r="K34" s="76"/>
      <c r="L34" s="76"/>
      <c r="M34" s="76"/>
      <c r="N34" s="76"/>
      <c r="O34" s="76"/>
      <c r="P34" s="76"/>
      <c r="Q34" s="76"/>
      <c r="R34" s="76"/>
      <c r="S34" s="76"/>
      <c r="T34" s="76"/>
      <c r="U34" s="76"/>
      <c r="V34" s="76"/>
      <c r="W34" s="76"/>
      <c r="X34" s="76"/>
      <c r="Y34" s="76"/>
      <c r="Z34" s="76"/>
      <c r="AA34" s="76"/>
    </row>
    <row r="35" spans="1:27" ht="15" x14ac:dyDescent="0.15">
      <c r="A35" s="314" t="s">
        <v>109</v>
      </c>
      <c r="B35" s="139"/>
      <c r="C35" s="139"/>
      <c r="D35" s="3" t="str">
        <f>IF(C35&lt;4,"Extremely Low", (IF(AND(C35&gt;=4,C35&lt;6),"Borderline",(IF(AND(C35&gt;=6,C35&lt;8),"Low Average",(IF(AND(C35&gt;=8,C35&lt;12),"Average",(IF(AND(C35&gt;=12,C35&lt;14),"High Average",(IF(AND(C35&gt;=14,C35&lt;16),"Superior","Very Superior")))))))))))</f>
        <v>Extremely Low</v>
      </c>
      <c r="E35" s="22">
        <f>C35-'Standard Tests'!$C$7</f>
        <v>-11</v>
      </c>
      <c r="F35" s="76"/>
      <c r="G35" s="76"/>
      <c r="H35" s="76"/>
      <c r="I35" s="76"/>
      <c r="J35" s="76"/>
      <c r="K35" s="76"/>
      <c r="L35" s="76"/>
      <c r="M35" s="76"/>
      <c r="N35" s="76"/>
      <c r="O35" s="76"/>
      <c r="P35" s="76"/>
      <c r="Q35" s="76"/>
      <c r="R35" s="76"/>
      <c r="S35" s="76"/>
      <c r="T35" s="76"/>
      <c r="U35" s="76"/>
      <c r="V35" s="76"/>
      <c r="W35" s="76"/>
      <c r="X35" s="76"/>
      <c r="Y35" s="76"/>
      <c r="Z35" s="76"/>
      <c r="AA35" s="76"/>
    </row>
    <row r="36" spans="1:27" x14ac:dyDescent="0.15">
      <c r="A36" s="317" t="s">
        <v>110</v>
      </c>
      <c r="B36" s="243"/>
      <c r="C36" s="243"/>
      <c r="D36" s="3" t="str">
        <f>IF(C36&lt;4,"Extremely Low", (IF(AND(C36&gt;=4,C36&lt;6),"Borderline",(IF(AND(C36&gt;=6,C36&lt;8),"Low Average",(IF(AND(C36&gt;=8,C36&lt;12),"Average",(IF(AND(C36&gt;=12,C36&lt;14),"High Average",(IF(AND(C36&gt;=14,C36&lt;16),"Superior","Very Superior")))))))))))</f>
        <v>Extremely Low</v>
      </c>
      <c r="E36" s="22">
        <f>C36-'Standard Tests'!$C$7</f>
        <v>-11</v>
      </c>
      <c r="F36" s="76"/>
      <c r="G36" s="76"/>
      <c r="H36" s="76"/>
      <c r="I36" s="76"/>
      <c r="J36" s="76"/>
      <c r="K36" s="76"/>
      <c r="L36" s="76"/>
      <c r="M36" s="76"/>
      <c r="N36" s="76"/>
      <c r="O36" s="76"/>
      <c r="P36" s="76"/>
      <c r="Q36" s="76"/>
      <c r="R36" s="76"/>
      <c r="S36" s="76"/>
      <c r="T36" s="76"/>
      <c r="U36" s="76"/>
      <c r="V36" s="76"/>
      <c r="W36" s="76"/>
      <c r="X36" s="76"/>
      <c r="Y36" s="76"/>
      <c r="Z36" s="76"/>
      <c r="AA36" s="76"/>
    </row>
    <row r="37" spans="1:27" x14ac:dyDescent="0.15">
      <c r="A37" s="318" t="s">
        <v>111</v>
      </c>
      <c r="B37" s="243"/>
      <c r="C37" s="243"/>
      <c r="D37" s="3" t="str">
        <f>IF(C37&lt;4,"Extremely Low", (IF(AND(C37&gt;=4,C37&lt;6),"Borderline",(IF(AND(C37&gt;=6,C37&lt;8),"Low Average",(IF(AND(C37&gt;=8,C37&lt;12),"Average",(IF(AND(C37&gt;=12,C37&lt;14),"High Average",(IF(AND(C37&gt;=14,C37&lt;16),"Superior","Very Superior")))))))))))</f>
        <v>Extremely Low</v>
      </c>
      <c r="E37" s="22">
        <f>C37-'Standard Tests'!$C$6</f>
        <v>-11</v>
      </c>
      <c r="F37" s="76"/>
      <c r="G37" s="76"/>
      <c r="H37" s="76"/>
      <c r="I37" s="76"/>
      <c r="J37" s="76"/>
      <c r="K37" s="76"/>
      <c r="L37" s="76"/>
      <c r="M37" s="76"/>
      <c r="N37" s="76"/>
      <c r="O37" s="76"/>
      <c r="P37" s="76"/>
      <c r="Q37" s="76"/>
      <c r="R37" s="76"/>
      <c r="S37" s="76"/>
      <c r="T37" s="76"/>
      <c r="U37" s="76"/>
      <c r="V37" s="76"/>
      <c r="W37" s="76"/>
      <c r="X37" s="76"/>
      <c r="Y37" s="76"/>
      <c r="Z37" s="76"/>
      <c r="AA37" s="76"/>
    </row>
    <row r="38" spans="1:27" x14ac:dyDescent="0.15">
      <c r="A38" s="318" t="s">
        <v>112</v>
      </c>
      <c r="B38" s="243"/>
      <c r="C38" s="319"/>
      <c r="D38" s="16"/>
      <c r="E38" s="95"/>
      <c r="F38" s="76"/>
      <c r="G38" s="76"/>
      <c r="H38" s="76"/>
      <c r="I38" s="76"/>
      <c r="J38" s="76"/>
      <c r="K38" s="76"/>
      <c r="L38" s="76"/>
      <c r="M38" s="76"/>
      <c r="N38" s="76"/>
      <c r="O38" s="76"/>
      <c r="P38" s="76"/>
      <c r="Q38" s="76"/>
      <c r="R38" s="76"/>
      <c r="S38" s="76"/>
      <c r="T38" s="76"/>
      <c r="U38" s="76"/>
      <c r="V38" s="76"/>
      <c r="W38" s="76"/>
      <c r="X38" s="76"/>
      <c r="Y38" s="76"/>
      <c r="Z38" s="76"/>
      <c r="AA38" s="76"/>
    </row>
    <row r="39" spans="1:27" x14ac:dyDescent="0.15">
      <c r="A39" s="318" t="s">
        <v>113</v>
      </c>
      <c r="B39" s="243"/>
      <c r="C39" s="319"/>
      <c r="D39" s="16"/>
      <c r="E39" s="95"/>
      <c r="F39" s="76"/>
      <c r="G39" s="76"/>
      <c r="H39" s="76"/>
      <c r="I39" s="76"/>
      <c r="J39" s="76"/>
      <c r="K39" s="76"/>
      <c r="L39" s="76"/>
      <c r="M39" s="76"/>
      <c r="N39" s="76"/>
      <c r="O39" s="76"/>
      <c r="P39" s="76"/>
      <c r="Q39" s="76"/>
      <c r="R39" s="76"/>
      <c r="S39" s="76"/>
      <c r="T39" s="76"/>
      <c r="U39" s="76"/>
      <c r="V39" s="76"/>
      <c r="W39" s="76"/>
      <c r="X39" s="76"/>
      <c r="Y39" s="76"/>
      <c r="Z39" s="76"/>
      <c r="AA39" s="76"/>
    </row>
    <row r="40" spans="1:27" ht="15" x14ac:dyDescent="0.15">
      <c r="A40" s="314" t="s">
        <v>114</v>
      </c>
      <c r="B40" s="139"/>
      <c r="C40" s="139"/>
      <c r="D40" s="3" t="str">
        <f>IF(C40&lt;4,"Extremely Low", (IF(AND(C40&gt;=4,C40&lt;6),"Borderline",(IF(AND(C40&gt;=6,C40&lt;8),"Low Average",(IF(AND(C40&gt;=8,C40&lt;12),"Average",(IF(AND(C40&gt;=12,C40&lt;14),"High Average",(IF(AND(C40&gt;=14,C40&lt;16),"Superior","Very Superior")))))))))))</f>
        <v>Extremely Low</v>
      </c>
      <c r="E40" s="22">
        <f>C40-'Standard Tests'!$C$8</f>
        <v>-11</v>
      </c>
      <c r="F40" s="76"/>
      <c r="G40" s="76"/>
      <c r="H40" s="76"/>
      <c r="I40" s="76"/>
      <c r="J40" s="76"/>
      <c r="K40" s="76"/>
      <c r="L40" s="76"/>
      <c r="M40" s="76"/>
      <c r="N40" s="76"/>
      <c r="O40" s="76"/>
      <c r="P40" s="76"/>
      <c r="Q40" s="76"/>
      <c r="R40" s="76"/>
      <c r="S40" s="76"/>
      <c r="T40" s="76"/>
      <c r="U40" s="76"/>
      <c r="V40" s="76"/>
      <c r="W40" s="76"/>
      <c r="X40" s="76"/>
      <c r="Y40" s="76"/>
      <c r="Z40" s="76"/>
      <c r="AA40" s="76"/>
    </row>
    <row r="41" spans="1:27" ht="15" x14ac:dyDescent="0.15">
      <c r="A41" s="314" t="s">
        <v>115</v>
      </c>
      <c r="B41" s="139"/>
      <c r="C41" s="320"/>
      <c r="D41" s="69"/>
      <c r="E41" s="22"/>
      <c r="F41" s="76"/>
      <c r="G41" s="76"/>
      <c r="H41" s="76"/>
      <c r="I41" s="76"/>
      <c r="J41" s="76"/>
      <c r="K41" s="76"/>
      <c r="L41" s="76"/>
      <c r="M41" s="76"/>
      <c r="N41" s="76"/>
      <c r="O41" s="76"/>
      <c r="P41" s="76"/>
      <c r="Q41" s="76"/>
      <c r="R41" s="76"/>
      <c r="S41" s="76"/>
      <c r="T41" s="76"/>
      <c r="U41" s="76"/>
      <c r="V41" s="76"/>
      <c r="W41" s="76"/>
      <c r="X41" s="76"/>
      <c r="Y41" s="76"/>
      <c r="Z41" s="76"/>
      <c r="AA41" s="76"/>
    </row>
    <row r="42" spans="1:27" ht="15" x14ac:dyDescent="0.15">
      <c r="A42" s="314" t="s">
        <v>116</v>
      </c>
      <c r="B42" s="139"/>
      <c r="C42" s="139"/>
      <c r="D42" s="3" t="str">
        <f>IF(C42&lt;4,"Extremely Low", (IF(AND(C42&gt;=4,C42&lt;6),"Borderline",(IF(AND(C42&gt;=6,C42&lt;8),"Low Average",(IF(AND(C42&gt;=8,C42&lt;12),"Average",(IF(AND(C42&gt;=12,C42&lt;14),"High Average",(IF(AND(C42&gt;=14,C42&lt;16),"Superior","Very Superior")))))))))))</f>
        <v>Extremely Low</v>
      </c>
      <c r="E42" s="22">
        <f>C42-'Standard Tests'!$C$8</f>
        <v>-11</v>
      </c>
      <c r="F42" s="76"/>
      <c r="G42" s="76"/>
      <c r="H42" s="76"/>
      <c r="I42" s="76"/>
      <c r="J42" s="76"/>
      <c r="K42" s="76"/>
      <c r="L42" s="76"/>
      <c r="M42" s="76"/>
      <c r="N42" s="76"/>
      <c r="O42" s="76"/>
      <c r="P42" s="76"/>
      <c r="Q42" s="76"/>
      <c r="R42" s="76"/>
      <c r="S42" s="76"/>
      <c r="T42" s="76"/>
      <c r="U42" s="76"/>
      <c r="V42" s="76"/>
      <c r="W42" s="76"/>
      <c r="X42" s="76"/>
      <c r="Y42" s="76"/>
      <c r="Z42" s="76"/>
      <c r="AA42" s="76"/>
    </row>
    <row r="43" spans="1:27" ht="15" x14ac:dyDescent="0.15">
      <c r="A43" s="314" t="s">
        <v>117</v>
      </c>
      <c r="B43" s="139"/>
      <c r="C43" s="320"/>
      <c r="D43" s="69"/>
      <c r="E43" s="22"/>
      <c r="F43" s="76"/>
      <c r="G43" s="76"/>
      <c r="H43" s="76"/>
      <c r="I43" s="76"/>
      <c r="J43" s="76"/>
      <c r="K43" s="76"/>
      <c r="L43" s="76"/>
      <c r="M43" s="76"/>
      <c r="N43" s="76"/>
      <c r="O43" s="76"/>
      <c r="P43" s="76"/>
      <c r="Q43" s="76"/>
      <c r="R43" s="76"/>
      <c r="S43" s="76"/>
      <c r="T43" s="76"/>
      <c r="U43" s="76"/>
      <c r="V43" s="76"/>
      <c r="W43" s="76"/>
      <c r="X43" s="76"/>
      <c r="Y43" s="76"/>
      <c r="Z43" s="76"/>
      <c r="AA43" s="76"/>
    </row>
    <row r="44" spans="1:27" ht="15" x14ac:dyDescent="0.15">
      <c r="A44" s="314" t="s">
        <v>118</v>
      </c>
      <c r="B44" s="139"/>
      <c r="C44" s="139"/>
      <c r="D44" s="3" t="str">
        <f>IF(C44&lt;4,"Extremely Low", (IF(AND(C44&gt;=4,C44&lt;6),"Borderline",(IF(AND(C44&gt;=6,C44&lt;8),"Low Average",(IF(AND(C44&gt;=8,C44&lt;12),"Average",(IF(AND(C44&gt;=12,C44&lt;14),"High Average",(IF(AND(C44&gt;=14,C44&lt;16),"Superior","Very Superior")))))))))))</f>
        <v>Extremely Low</v>
      </c>
      <c r="E44" s="22">
        <f>C44-'Standard Tests'!$C$8</f>
        <v>-11</v>
      </c>
      <c r="F44" s="76"/>
      <c r="G44" s="76"/>
      <c r="H44" s="76"/>
      <c r="I44" s="76"/>
      <c r="J44" s="76"/>
      <c r="K44" s="76"/>
      <c r="L44" s="76"/>
      <c r="M44" s="76"/>
      <c r="N44" s="76"/>
      <c r="O44" s="76"/>
      <c r="P44" s="76"/>
      <c r="Q44" s="76"/>
      <c r="R44" s="76"/>
      <c r="S44" s="76"/>
      <c r="T44" s="76"/>
      <c r="U44" s="76"/>
      <c r="V44" s="76"/>
      <c r="W44" s="76"/>
      <c r="X44" s="76"/>
      <c r="Y44" s="76"/>
      <c r="Z44" s="76"/>
      <c r="AA44" s="76"/>
    </row>
    <row r="45" spans="1:27" ht="15" x14ac:dyDescent="0.15">
      <c r="A45" s="314" t="s">
        <v>119</v>
      </c>
      <c r="B45" s="139"/>
      <c r="C45" s="139"/>
      <c r="D45" s="3" t="str">
        <f>IF(C45&lt;4,"Extremely Low", (IF(AND(C45&gt;=4,C45&lt;6),"Borderline",(IF(AND(C45&gt;=6,C45&lt;8),"Low Average",(IF(AND(C45&gt;=8,C45&lt;12),"Average",(IF(AND(C45&gt;=12,C45&lt;14),"High Average",(IF(AND(C45&gt;=14,C45&lt;16),"Superior","Very Superior")))))))))))</f>
        <v>Extremely Low</v>
      </c>
      <c r="E45" s="22">
        <f>C45-'Standard Tests'!$C$6</f>
        <v>-11</v>
      </c>
      <c r="F45" s="76"/>
      <c r="G45" s="76"/>
      <c r="H45" s="76"/>
      <c r="I45" s="76"/>
      <c r="J45" s="76"/>
      <c r="K45" s="76"/>
      <c r="L45" s="76"/>
      <c r="M45" s="76"/>
      <c r="N45" s="76"/>
      <c r="O45" s="76"/>
      <c r="P45" s="76"/>
      <c r="Q45" s="76"/>
      <c r="R45" s="76"/>
      <c r="S45" s="76"/>
      <c r="T45" s="76"/>
      <c r="U45" s="76"/>
      <c r="V45" s="76"/>
      <c r="W45" s="76"/>
      <c r="X45" s="76"/>
      <c r="Y45" s="76"/>
      <c r="Z45" s="76"/>
      <c r="AA45" s="76"/>
    </row>
    <row r="46" spans="1:27" ht="15" x14ac:dyDescent="0.15">
      <c r="A46" s="321"/>
      <c r="B46" s="313" t="s">
        <v>2</v>
      </c>
      <c r="C46" s="313" t="s">
        <v>3</v>
      </c>
      <c r="D46" s="313" t="s">
        <v>4</v>
      </c>
      <c r="E46" s="26" t="s">
        <v>120</v>
      </c>
      <c r="F46" s="76"/>
      <c r="G46" s="76"/>
      <c r="H46" s="76"/>
      <c r="I46" s="76"/>
      <c r="J46" s="76"/>
      <c r="K46" s="76"/>
      <c r="L46" s="76"/>
      <c r="M46" s="76"/>
      <c r="N46" s="76"/>
      <c r="O46" s="76"/>
      <c r="P46" s="76"/>
      <c r="Q46" s="76"/>
      <c r="R46" s="76"/>
      <c r="S46" s="76"/>
      <c r="T46" s="76"/>
      <c r="U46" s="76"/>
      <c r="V46" s="76"/>
      <c r="W46" s="76"/>
      <c r="X46" s="76"/>
      <c r="Y46" s="76"/>
      <c r="Z46" s="76"/>
      <c r="AA46" s="76"/>
    </row>
    <row r="47" spans="1:27" x14ac:dyDescent="0.15">
      <c r="A47" s="339" t="s">
        <v>77</v>
      </c>
      <c r="B47" s="273"/>
      <c r="C47" s="3" t="str">
        <f>IF(B47&lt;58,"1",(IF(AND(B47&gt;=58,B47&lt;63),"2",(IF(AND(B47&gt;=63,B47&lt;68),"3",(IF(AND(B47&gt;=68,B47&lt;73),"4",(IF(AND(B47&gt;=73,B47&lt;78),"5",(IF(AND(B47&gt;=78,B47&lt;83),"6",(IF(AND(B47&gt;=83,B47&lt;88),"7",(IF(AND(B47&gt;=88,B47&lt;93),"8",(IF(AND(B47&gt;=93,B47&lt;98),"9",(IF(AND(B47&gt;=98,B47&lt;103),"10",(IF(AND(B47&gt;=103,B47&lt;108),"11",(IF(AND(B47&gt;=108,B47&lt;113),"12",(IF(AND(B47&gt;=113,B47&lt;118),"13",(IF(AND(B47&gt;=118,B47&lt;123),"14",(IF(AND(B47&gt;=123,B47&lt;128),"15",(IF(AND(B47&gt;=128,B47&lt;133),"16",(IF(AND(B47&gt;=133,B47&lt;138),"17",(IF(AND(B47&gt;=138,B47&lt;143),"18","19")))))))))))))))))))))))))))))))))))</f>
        <v>1</v>
      </c>
      <c r="D47" s="3" t="str">
        <f>IF(B47&lt;70,"Extremely Low", (IF(AND(B47&gt;=70,B47&lt;80),"Borderline",(IF(AND(B47&gt;=80,B47&lt;90),"Low Average",(IF(AND(B47&gt;=90,B47&lt;110),"Average",(IF(AND(B47&gt;=110,B47&lt;120),"High Average",(IF(AND(B47&gt;=120,B47&lt;130),"Superior","Very Superior")))))))))))</f>
        <v>Extremely Low</v>
      </c>
      <c r="E47" s="4">
        <f>(1/15*('Extended Battery'!B47-100))-'Standard Tests'!$F$7</f>
        <v>-7.0271133333333333</v>
      </c>
      <c r="F47" s="76"/>
      <c r="G47" s="76"/>
      <c r="H47" s="76"/>
      <c r="I47" s="76"/>
      <c r="J47" s="76"/>
      <c r="K47" s="76"/>
      <c r="L47" s="76"/>
      <c r="M47" s="76"/>
      <c r="N47" s="76"/>
      <c r="O47" s="76"/>
      <c r="P47" s="76"/>
      <c r="Q47" s="76"/>
      <c r="R47" s="76"/>
      <c r="S47" s="76"/>
      <c r="T47" s="76"/>
      <c r="U47" s="76"/>
      <c r="V47" s="76"/>
      <c r="W47" s="76"/>
      <c r="X47" s="76"/>
      <c r="Y47" s="76"/>
      <c r="Z47" s="76"/>
      <c r="AA47" s="76"/>
    </row>
    <row r="48" spans="1:27" x14ac:dyDescent="0.15">
      <c r="A48" s="340" t="s">
        <v>121</v>
      </c>
      <c r="B48" s="273"/>
      <c r="C48" s="3" t="str">
        <f>IF(B48&lt;58,"1",(IF(AND(B48&gt;=58,B48&lt;63),"2",(IF(AND(B48&gt;=63,B48&lt;68),"3",(IF(AND(B48&gt;=68,B48&lt;73),"4",(IF(AND(B48&gt;=73,B48&lt;78),"5",(IF(AND(B48&gt;=78,B48&lt;83),"6",(IF(AND(B48&gt;=83,B48&lt;88),"7",(IF(AND(B48&gt;=88,B48&lt;93),"8",(IF(AND(B48&gt;=93,B48&lt;98),"9",(IF(AND(B48&gt;=98,B48&lt;103),"10",(IF(AND(B48&gt;=103,B48&lt;108),"11",(IF(AND(B48&gt;=108,B48&lt;113),"12",(IF(AND(B48&gt;=113,B48&lt;118),"13",(IF(AND(B48&gt;=118,B48&lt;123),"14",(IF(AND(B48&gt;=123,B48&lt;128),"15",(IF(AND(B48&gt;=128,B48&lt;133),"16",(IF(AND(B48&gt;=133,B48&lt;138),"17",(IF(AND(B48&gt;=138,B48&lt;143),"18","19")))))))))))))))))))))))))))))))))))</f>
        <v>1</v>
      </c>
      <c r="D48" s="3" t="str">
        <f>IF(B48&lt;70,"Extremely Low", (IF(AND(B48&gt;=70,B48&lt;80),"Borderline",(IF(AND(B48&gt;=80,B48&lt;90),"Low Average",(IF(AND(B48&gt;=90,B48&lt;110),"Average",(IF(AND(B48&gt;=110,B48&lt;120),"High Average",(IF(AND(B48&gt;=120,B48&lt;130),"Superior","Very Superior")))))))))))</f>
        <v>Extremely Low</v>
      </c>
      <c r="E48" s="4">
        <f>(1/15*('Extended Battery'!B48-100))-'Standard Tests'!$F$8</f>
        <v>-7.0179466666666679</v>
      </c>
      <c r="F48" s="76"/>
      <c r="G48" s="76"/>
      <c r="H48" s="76"/>
      <c r="I48" s="76"/>
      <c r="J48" s="76"/>
      <c r="K48" s="76"/>
      <c r="L48" s="76"/>
      <c r="M48" s="76"/>
      <c r="N48" s="76"/>
      <c r="O48" s="76"/>
      <c r="P48" s="76"/>
      <c r="Q48" s="76"/>
      <c r="R48" s="76"/>
      <c r="S48" s="76"/>
      <c r="T48" s="76"/>
      <c r="U48" s="76"/>
      <c r="V48" s="76"/>
      <c r="W48" s="76"/>
      <c r="X48" s="76"/>
      <c r="Y48" s="76"/>
      <c r="Z48" s="76"/>
      <c r="AA48" s="76"/>
    </row>
    <row r="49" spans="1:27" x14ac:dyDescent="0.15">
      <c r="A49" s="340" t="s">
        <v>258</v>
      </c>
      <c r="B49" s="273"/>
      <c r="C49" s="3" t="str">
        <f>IF(B49&lt;58,"1",(IF(AND(B49&gt;=58,B49&lt;63),"2",(IF(AND(B49&gt;=63,B49&lt;68),"3",(IF(AND(B49&gt;=68,B49&lt;73),"4",(IF(AND(B49&gt;=73,B49&lt;78),"5",(IF(AND(B49&gt;=78,B49&lt;83),"6",(IF(AND(B49&gt;=83,B49&lt;88),"7",(IF(AND(B49&gt;=88,B49&lt;93),"8",(IF(AND(B49&gt;=93,B49&lt;98),"9",(IF(AND(B49&gt;=98,B49&lt;103),"10",(IF(AND(B49&gt;=103,B49&lt;108),"11",(IF(AND(B49&gt;=108,B49&lt;113),"12",(IF(AND(B49&gt;=113,B49&lt;118),"13",(IF(AND(B49&gt;=118,B49&lt;123),"14",(IF(AND(B49&gt;=123,B49&lt;128),"15",(IF(AND(B49&gt;=128,B49&lt;133),"16",(IF(AND(B49&gt;=133,B49&lt;138),"17",(IF(AND(B49&gt;=138,B49&lt;143),"18","19")))))))))))))))))))))))))))))))))))</f>
        <v>1</v>
      </c>
      <c r="D49" s="3" t="str">
        <f>IF(B49&lt;70,"Extremely Low", (IF(AND(B49&gt;=70,B49&lt;80),"Borderline",(IF(AND(B49&gt;=80,B49&lt;90),"Low Average",(IF(AND(B49&gt;=90,B49&lt;110),"Average",(IF(AND(B49&gt;=110,B49&lt;120),"High Average",(IF(AND(B49&gt;=120,B49&lt;130),"Superior","Very Superior")))))))))))</f>
        <v>Extremely Low</v>
      </c>
      <c r="E49" s="4">
        <f>(1/15*('Extended Battery'!B49-100))-F9</f>
        <v>-7.1758600000000001</v>
      </c>
      <c r="F49" s="76"/>
      <c r="G49" s="76"/>
      <c r="H49" s="76"/>
      <c r="I49" s="76"/>
      <c r="J49" s="76"/>
      <c r="K49" s="76"/>
      <c r="L49" s="76"/>
      <c r="M49" s="76"/>
      <c r="N49" s="76"/>
      <c r="O49" s="76"/>
      <c r="P49" s="76"/>
      <c r="Q49" s="76"/>
      <c r="R49" s="76"/>
      <c r="S49" s="76"/>
      <c r="T49" s="76"/>
      <c r="U49" s="76"/>
      <c r="V49" s="76"/>
      <c r="W49" s="76"/>
      <c r="X49" s="76"/>
      <c r="Y49" s="76"/>
      <c r="Z49" s="76"/>
      <c r="AA49" s="76"/>
    </row>
    <row r="50" spans="1:27" x14ac:dyDescent="0.15">
      <c r="A50" s="322"/>
      <c r="B50" s="323"/>
      <c r="C50" s="323"/>
      <c r="D50" s="323"/>
      <c r="E50" s="324"/>
      <c r="F50" s="76"/>
      <c r="G50" s="76"/>
      <c r="H50" s="76"/>
      <c r="I50" s="76"/>
      <c r="J50" s="76"/>
      <c r="K50" s="76"/>
      <c r="L50" s="76"/>
      <c r="M50" s="76"/>
      <c r="N50" s="76"/>
      <c r="O50" s="76"/>
      <c r="P50" s="76"/>
      <c r="Q50" s="76"/>
      <c r="R50" s="76"/>
      <c r="S50" s="76"/>
      <c r="T50" s="76"/>
      <c r="U50" s="76"/>
      <c r="V50" s="76"/>
      <c r="W50" s="76"/>
      <c r="X50" s="76"/>
      <c r="Y50" s="76"/>
      <c r="Z50" s="76"/>
      <c r="AA50" s="76"/>
    </row>
    <row r="51" spans="1:27" x14ac:dyDescent="0.15">
      <c r="A51" s="325" t="s">
        <v>122</v>
      </c>
      <c r="B51" s="326" t="s">
        <v>32</v>
      </c>
      <c r="C51" s="326" t="s">
        <v>123</v>
      </c>
      <c r="D51" s="326" t="s">
        <v>124</v>
      </c>
      <c r="E51" s="327" t="s">
        <v>125</v>
      </c>
      <c r="F51" s="76"/>
      <c r="G51" s="76"/>
      <c r="H51" s="76"/>
      <c r="I51" s="76"/>
      <c r="J51" s="76"/>
      <c r="K51" s="76"/>
      <c r="L51" s="76"/>
      <c r="M51" s="653"/>
      <c r="N51" s="76"/>
      <c r="O51" s="657"/>
      <c r="P51" s="657">
        <v>1</v>
      </c>
      <c r="Q51" s="657" t="s">
        <v>674</v>
      </c>
      <c r="R51" s="657"/>
      <c r="S51" s="657" t="str">
        <f>IF(D55&lt;9,"Y","N")</f>
        <v>N</v>
      </c>
      <c r="T51" s="621"/>
      <c r="U51" s="76"/>
      <c r="V51" s="76"/>
      <c r="W51" s="76"/>
      <c r="X51" s="76"/>
      <c r="Y51" s="76"/>
      <c r="Z51" s="76"/>
      <c r="AA51" s="76"/>
    </row>
    <row r="52" spans="1:27" x14ac:dyDescent="0.15">
      <c r="A52" s="324" t="s">
        <v>126</v>
      </c>
      <c r="B52" s="243"/>
      <c r="C52" s="67">
        <v>30</v>
      </c>
      <c r="D52" s="654">
        <f>C52-B52</f>
        <v>30</v>
      </c>
      <c r="E52" s="330">
        <f t="shared" ref="E52:E57" si="4">D52/C52</f>
        <v>1</v>
      </c>
      <c r="F52" s="76"/>
      <c r="G52" s="76"/>
      <c r="H52" s="76"/>
      <c r="I52" s="76"/>
      <c r="J52" s="76"/>
      <c r="K52" s="76"/>
      <c r="L52" s="76"/>
      <c r="M52" s="76"/>
      <c r="N52" s="76"/>
      <c r="O52" s="657"/>
      <c r="P52" s="657">
        <v>2</v>
      </c>
      <c r="Q52" s="657" t="s">
        <v>675</v>
      </c>
      <c r="R52" s="657"/>
      <c r="S52" s="657" t="str">
        <f>IF(D54&lt;16,"Y","N")</f>
        <v>N</v>
      </c>
      <c r="T52" s="621"/>
      <c r="U52" s="76"/>
      <c r="V52" s="76"/>
      <c r="W52" s="76"/>
      <c r="X52" s="76"/>
      <c r="Y52" s="76"/>
      <c r="Z52" s="76"/>
      <c r="AA52" s="76"/>
    </row>
    <row r="53" spans="1:27" x14ac:dyDescent="0.15">
      <c r="A53" s="95" t="s">
        <v>127</v>
      </c>
      <c r="B53" s="243"/>
      <c r="C53" s="96">
        <v>30</v>
      </c>
      <c r="D53" s="655">
        <f>C53-B53</f>
        <v>30</v>
      </c>
      <c r="E53" s="656">
        <f t="shared" si="4"/>
        <v>1</v>
      </c>
      <c r="F53" s="76"/>
      <c r="G53" s="76"/>
      <c r="H53" s="76"/>
      <c r="I53" s="76"/>
      <c r="J53" s="76"/>
      <c r="K53" s="76"/>
      <c r="L53" s="653"/>
      <c r="M53" s="76"/>
      <c r="N53" s="76"/>
      <c r="O53" s="658"/>
      <c r="P53" s="657">
        <v>3</v>
      </c>
      <c r="Q53" s="657" t="s">
        <v>676</v>
      </c>
      <c r="R53" s="657"/>
      <c r="S53" s="657" t="str">
        <f>IF(D56&lt;8,"Y","N")</f>
        <v>N</v>
      </c>
      <c r="T53" s="621"/>
      <c r="U53" s="76"/>
      <c r="V53" s="76"/>
      <c r="W53" s="76"/>
      <c r="X53" s="76"/>
      <c r="Y53" s="76"/>
      <c r="Z53" s="76"/>
      <c r="AA53" s="76"/>
    </row>
    <row r="54" spans="1:27" x14ac:dyDescent="0.15">
      <c r="A54" s="324" t="s">
        <v>128</v>
      </c>
      <c r="B54" s="243"/>
      <c r="C54" s="67">
        <v>20</v>
      </c>
      <c r="D54" s="654">
        <f>C54-B54</f>
        <v>20</v>
      </c>
      <c r="E54" s="330">
        <f t="shared" si="4"/>
        <v>1</v>
      </c>
      <c r="F54" s="76"/>
      <c r="G54" s="76"/>
      <c r="H54" s="76"/>
      <c r="I54" s="76"/>
      <c r="J54" s="76"/>
      <c r="K54" s="76"/>
      <c r="L54" s="76"/>
      <c r="M54" s="76"/>
      <c r="N54" s="76"/>
      <c r="O54" s="657"/>
      <c r="P54" s="657">
        <v>4</v>
      </c>
      <c r="Q54" s="657" t="s">
        <v>677</v>
      </c>
      <c r="R54" s="657"/>
      <c r="S54" s="657" t="str">
        <f>IF(D52&lt;25,"Y","N")</f>
        <v>N</v>
      </c>
      <c r="T54" s="621"/>
      <c r="U54" s="76"/>
      <c r="V54" s="76"/>
      <c r="W54" s="76"/>
      <c r="X54" s="76"/>
      <c r="Y54" s="76"/>
      <c r="Z54" s="76"/>
      <c r="AA54" s="76"/>
    </row>
    <row r="55" spans="1:27" x14ac:dyDescent="0.15">
      <c r="A55" s="95" t="s">
        <v>129</v>
      </c>
      <c r="B55" s="243"/>
      <c r="C55" s="96">
        <v>10</v>
      </c>
      <c r="D55" s="655">
        <f>C55-B55</f>
        <v>10</v>
      </c>
      <c r="E55" s="656">
        <f t="shared" si="4"/>
        <v>1</v>
      </c>
      <c r="F55" s="76"/>
      <c r="G55" s="76"/>
      <c r="H55" s="76"/>
      <c r="I55" s="76"/>
      <c r="J55" s="76"/>
      <c r="K55" s="76"/>
      <c r="L55" s="76"/>
      <c r="M55" s="76"/>
      <c r="N55" s="76"/>
      <c r="O55" s="659"/>
      <c r="P55" s="657">
        <v>5</v>
      </c>
      <c r="Q55" s="657" t="s">
        <v>678</v>
      </c>
      <c r="R55" s="657"/>
      <c r="S55" s="657" t="str">
        <f>IF(D55&lt;6,"Y","N")</f>
        <v>N</v>
      </c>
      <c r="T55" s="621"/>
      <c r="U55" s="76"/>
      <c r="V55" s="76"/>
      <c r="W55" s="76"/>
      <c r="X55" s="76"/>
      <c r="Y55" s="76"/>
      <c r="Z55" s="76"/>
      <c r="AA55" s="76"/>
    </row>
    <row r="56" spans="1:27" x14ac:dyDescent="0.15">
      <c r="A56" s="324" t="s">
        <v>130</v>
      </c>
      <c r="B56" s="243"/>
      <c r="C56" s="67">
        <v>10</v>
      </c>
      <c r="D56" s="654">
        <f>C56-B56</f>
        <v>10</v>
      </c>
      <c r="E56" s="330">
        <f t="shared" si="4"/>
        <v>1</v>
      </c>
      <c r="F56" s="76"/>
      <c r="G56" s="660" t="s">
        <v>684</v>
      </c>
      <c r="H56" s="76"/>
      <c r="I56" s="76"/>
      <c r="J56" s="76"/>
      <c r="K56" s="76"/>
      <c r="L56" s="76"/>
      <c r="M56" s="76"/>
      <c r="N56" s="76"/>
      <c r="O56" s="657"/>
      <c r="P56" s="657">
        <v>6</v>
      </c>
      <c r="Q56" s="657" t="s">
        <v>679</v>
      </c>
      <c r="R56" s="657"/>
      <c r="S56" s="657" t="str">
        <f>IF(D54&lt;13,"Y","N")</f>
        <v>N</v>
      </c>
      <c r="T56" s="621"/>
      <c r="U56" s="76"/>
      <c r="V56" s="76"/>
      <c r="W56" s="76"/>
      <c r="X56" s="76"/>
      <c r="Y56" s="76"/>
      <c r="Z56" s="76"/>
      <c r="AA56" s="76"/>
    </row>
    <row r="57" spans="1:27" x14ac:dyDescent="0.15">
      <c r="A57" s="95" t="s">
        <v>131</v>
      </c>
      <c r="B57" s="18">
        <f>SUM(B52:B56)</f>
        <v>0</v>
      </c>
      <c r="C57" s="18">
        <v>100</v>
      </c>
      <c r="D57" s="18">
        <f>SUM(D52:D56)</f>
        <v>100</v>
      </c>
      <c r="E57" s="656">
        <f t="shared" si="4"/>
        <v>1</v>
      </c>
      <c r="F57" s="76"/>
      <c r="G57" s="888" t="s">
        <v>683</v>
      </c>
      <c r="H57" s="888"/>
      <c r="I57" s="888"/>
      <c r="J57" s="889" t="str">
        <f>IF(AND(S51="N",S52="N"),"Healthy/Not PPA",IF((AND(S51="N",S52="Y")),"svPPA",IF(AND(S51="Y",S53="N",S56="Y",S57="N"),"svPPA",IF(AND(S51="Y",S53="N",S56="Y",S57="Y"),"nfPPA",IF(AND(S51="Y",S53="N",S56="N"),"nfPPA",IF(AND(S51="Y",S53="Y",S54="Y"),"nfPPA",IF(AND(S51="Y",S53="Y",S54="N",S55="Y"),"lvPPA",IF(AND(S51="Y",S53="Y",S54="N",S55="N",S56="Y"),"svPPA",IF(AND(S51="Y",S53="Y",S54="N",S55="N",S56="N"),"lvPPA","Healthy/Not PPA")))))))))</f>
        <v>Healthy/Not PPA</v>
      </c>
      <c r="K57" s="889"/>
      <c r="L57" s="76"/>
      <c r="M57" s="76"/>
      <c r="N57" s="76"/>
      <c r="O57" s="657"/>
      <c r="P57" s="657">
        <v>7</v>
      </c>
      <c r="Q57" s="657" t="s">
        <v>680</v>
      </c>
      <c r="R57" s="657"/>
      <c r="S57" s="657" t="str">
        <f>IF(D53&lt;18,"Y","N")</f>
        <v>N</v>
      </c>
      <c r="T57" s="621"/>
      <c r="U57" s="76"/>
      <c r="V57" s="76"/>
      <c r="W57" s="76"/>
      <c r="X57" s="76"/>
      <c r="Y57" s="76"/>
      <c r="Z57" s="76"/>
      <c r="AA57" s="76"/>
    </row>
    <row r="58" spans="1:27" x14ac:dyDescent="0.15">
      <c r="A58" s="17" t="s">
        <v>139</v>
      </c>
      <c r="B58" s="43" t="s">
        <v>32</v>
      </c>
      <c r="C58" s="43" t="s">
        <v>123</v>
      </c>
      <c r="D58" s="43" t="s">
        <v>124</v>
      </c>
      <c r="E58" s="43" t="s">
        <v>125</v>
      </c>
      <c r="F58" s="76"/>
      <c r="G58" s="76"/>
      <c r="H58" s="76"/>
      <c r="I58" s="76"/>
      <c r="J58" s="76"/>
      <c r="K58" s="76"/>
      <c r="L58" s="76"/>
      <c r="M58" s="76"/>
      <c r="N58" s="76"/>
      <c r="O58" s="657"/>
      <c r="P58" s="657"/>
      <c r="Q58" s="657"/>
      <c r="R58" s="657"/>
      <c r="S58" s="657"/>
      <c r="T58" s="621"/>
      <c r="U58" s="76"/>
      <c r="V58" s="76"/>
      <c r="W58" s="76"/>
      <c r="X58" s="76"/>
      <c r="Y58" s="76"/>
      <c r="Z58" s="76"/>
      <c r="AA58" s="76"/>
    </row>
    <row r="59" spans="1:27" x14ac:dyDescent="0.15">
      <c r="A59" s="328" t="s">
        <v>150</v>
      </c>
      <c r="B59" s="243"/>
      <c r="C59" s="67">
        <v>30</v>
      </c>
      <c r="D59" s="329">
        <f>C59-B59</f>
        <v>30</v>
      </c>
      <c r="E59" s="330">
        <f>D59/C59</f>
        <v>1</v>
      </c>
      <c r="F59" s="76"/>
      <c r="G59" s="76"/>
      <c r="H59" s="76"/>
      <c r="I59" s="76"/>
      <c r="J59" s="76"/>
      <c r="K59" s="76"/>
      <c r="L59" s="76"/>
      <c r="M59" s="76"/>
      <c r="N59" s="76"/>
      <c r="O59" s="657"/>
      <c r="P59" s="657"/>
      <c r="Q59" s="657" t="str">
        <f>IF(AND(S51="N",S52="N"),"Healthy",IF((AND(S51="N",S52="Y")),"svPPA",""))</f>
        <v>Healthy</v>
      </c>
      <c r="R59" s="657"/>
      <c r="S59" s="657"/>
      <c r="T59" s="621"/>
      <c r="U59" s="76"/>
      <c r="V59" s="76"/>
      <c r="W59" s="76" t="str">
        <f>IF(AND(Y51="N",Y52="N"),"Healthy",IF((AND(Y51="N",Y52="Y")),"svPPA",""))</f>
        <v/>
      </c>
      <c r="X59" s="76"/>
      <c r="Y59" s="76"/>
      <c r="Z59" s="76"/>
      <c r="AA59" s="76"/>
    </row>
    <row r="60" spans="1:27" x14ac:dyDescent="0.15">
      <c r="A60" s="328" t="s">
        <v>151</v>
      </c>
      <c r="B60" s="243"/>
      <c r="C60" s="67">
        <v>30</v>
      </c>
      <c r="D60" s="329">
        <f>C60-B60</f>
        <v>30</v>
      </c>
      <c r="E60" s="330">
        <f>D60/C60</f>
        <v>1</v>
      </c>
      <c r="F60" s="76"/>
      <c r="G60" s="76"/>
      <c r="H60" s="76"/>
      <c r="I60" s="76"/>
      <c r="J60" s="76"/>
      <c r="K60" s="76"/>
      <c r="L60" s="76"/>
      <c r="M60" s="76"/>
      <c r="N60" s="76"/>
      <c r="O60" s="657" t="s">
        <v>681</v>
      </c>
      <c r="P60" s="657"/>
      <c r="Q60" s="657" t="str">
        <f>IF(AND(S51="Y",S53="N",S56="Y",S57="N"),"svPPA",IF(AND(S51="Y",S53="N",S56="Y",S57="Y"),"nfPPA",IF(AND(S51="Y",S53="N",S56="N"),"nfPPA","")))</f>
        <v/>
      </c>
      <c r="R60" s="657"/>
      <c r="S60" s="657"/>
      <c r="T60" s="621"/>
      <c r="U60" s="76"/>
      <c r="V60" s="76"/>
      <c r="W60" s="76" t="str">
        <f>IF(AND(Y51="Y",Y53="N",Y56="Y",Y57="N"),"svPPA",IF(AND(Y51="Y",Y53="N",Y56="Y",Y57="Y"),"nfPPA",IF(AND(Y51="Y",Y53="N",Y56="N"),"nfPPA","")))</f>
        <v/>
      </c>
      <c r="X60" s="76"/>
      <c r="Y60" s="76"/>
      <c r="Z60" s="76"/>
      <c r="AA60" s="76"/>
    </row>
    <row r="61" spans="1:27" x14ac:dyDescent="0.15">
      <c r="A61" s="328" t="s">
        <v>152</v>
      </c>
      <c r="B61" s="243"/>
      <c r="C61" s="67">
        <v>30</v>
      </c>
      <c r="D61" s="329">
        <f>C61-B61</f>
        <v>30</v>
      </c>
      <c r="E61" s="330">
        <f>D61/C61</f>
        <v>1</v>
      </c>
      <c r="F61" s="76"/>
      <c r="G61" s="76"/>
      <c r="H61" s="76"/>
      <c r="I61" s="76"/>
      <c r="J61" s="76"/>
      <c r="K61" s="76"/>
      <c r="L61" s="76"/>
      <c r="M61" s="76"/>
      <c r="N61" s="76"/>
      <c r="O61" s="657"/>
      <c r="P61" s="657"/>
      <c r="Q61" s="657" t="str">
        <f>IF(AND(S51="Y",S53="Y",S54="Y"),"nfPPA",IF(AND(S51="Y",S53="Y",S54="N",S55="Y"),"lvPPA",IF(AND(S51="Y",S53="Y",S54="N",S55="N",S56="Y"),"svPPA",IF(AND(S51="Y",S53="Y",S54="N",S55="N",S56="N"),"lvPPA",""))))</f>
        <v/>
      </c>
      <c r="R61" s="657"/>
      <c r="S61" s="657"/>
      <c r="T61" s="621"/>
      <c r="U61" s="76"/>
      <c r="V61" s="76"/>
      <c r="W61" s="76" t="str">
        <f>IF(AND(Y51="Y",Y53="Y",Y54="Y"),"nfPPA",IF(AND(Y51="Y",Y53="Y",Y54="N",Y55="Y"),"lvPPA",IF(AND(Y51="Y",Y53="Y",Y54="N",Y55="N",Y56="Y"),"svPPA",IF(AND(Y51="Y",Y53="Y",Y54="N",Y55="N",Y56="N"),"lvPPA",""))))</f>
        <v/>
      </c>
      <c r="X61" s="76"/>
      <c r="Y61" s="76"/>
      <c r="Z61" s="76"/>
      <c r="AA61" s="76"/>
    </row>
    <row r="62" spans="1:27" x14ac:dyDescent="0.15">
      <c r="A62" s="328" t="s">
        <v>159</v>
      </c>
      <c r="B62" s="243"/>
      <c r="C62" s="67">
        <v>30</v>
      </c>
      <c r="D62" s="329">
        <f>C62-B62</f>
        <v>30</v>
      </c>
      <c r="E62" s="330">
        <f>D62/C62</f>
        <v>1</v>
      </c>
      <c r="F62" s="76"/>
      <c r="G62" s="76"/>
      <c r="H62" s="76"/>
      <c r="I62" s="76"/>
      <c r="J62" s="76"/>
      <c r="K62" s="76"/>
      <c r="L62" s="76"/>
      <c r="M62" s="76"/>
      <c r="N62" s="76"/>
      <c r="O62" s="657"/>
      <c r="P62" s="657"/>
      <c r="Q62" s="657"/>
      <c r="R62" s="657"/>
      <c r="S62" s="657"/>
      <c r="T62" s="621"/>
      <c r="U62" s="76"/>
      <c r="V62" s="76"/>
      <c r="W62" s="76"/>
      <c r="X62" s="76"/>
      <c r="Y62" s="76"/>
      <c r="Z62" s="76"/>
      <c r="AA62" s="76"/>
    </row>
    <row r="63" spans="1:27" ht="15" x14ac:dyDescent="0.15">
      <c r="A63" s="312" t="s">
        <v>172</v>
      </c>
      <c r="B63" s="332" t="s">
        <v>9</v>
      </c>
      <c r="C63" s="313" t="s">
        <v>3</v>
      </c>
      <c r="D63" s="313" t="s">
        <v>4</v>
      </c>
      <c r="E63" s="26" t="s">
        <v>234</v>
      </c>
      <c r="F63" s="76"/>
      <c r="G63" s="76"/>
      <c r="H63" s="76"/>
      <c r="I63" s="76"/>
      <c r="J63" s="76"/>
      <c r="K63" s="76"/>
      <c r="L63" s="76"/>
      <c r="M63" s="76"/>
      <c r="N63" s="76"/>
      <c r="O63" s="657" t="s">
        <v>682</v>
      </c>
      <c r="P63" s="657"/>
      <c r="Q63" s="657"/>
      <c r="R63" s="657"/>
      <c r="S63" s="657"/>
      <c r="T63" s="621"/>
      <c r="U63" s="76"/>
      <c r="V63" s="76"/>
      <c r="W63" s="76"/>
      <c r="X63" s="76"/>
      <c r="Y63" s="76"/>
      <c r="Z63" s="76"/>
      <c r="AA63" s="76"/>
    </row>
    <row r="64" spans="1:27" ht="15" x14ac:dyDescent="0.15">
      <c r="A64" s="333" t="s">
        <v>214</v>
      </c>
      <c r="B64" s="139"/>
      <c r="C64" s="139"/>
      <c r="D64" s="3" t="str">
        <f t="shared" ref="D64:D78" si="5">IF(C64&lt;4,"Extremely Low", (IF(AND(C64&gt;=4,C64&lt;6),"Borderline",(IF(AND(C64&gt;=6,C64&lt;8),"Low Average",(IF(AND(C64&gt;=8,C64&lt;12),"Average",(IF(AND(C64&gt;=12,C64&lt;14),"High Average",(IF(AND(C64&gt;=14,C64&lt;16),"Superior","Very Superior")))))))))))</f>
        <v>Extremely Low</v>
      </c>
      <c r="E64" s="22">
        <f>C64-$C$4</f>
        <v>-10</v>
      </c>
      <c r="F64" s="197" t="s">
        <v>230</v>
      </c>
      <c r="G64" s="76"/>
      <c r="H64" s="76"/>
      <c r="I64" s="76"/>
      <c r="J64" s="76"/>
      <c r="K64" s="76"/>
      <c r="L64" s="76"/>
      <c r="M64" s="76"/>
      <c r="N64" s="76"/>
      <c r="O64" s="657"/>
      <c r="P64" s="657"/>
      <c r="Q64" s="657"/>
      <c r="R64" s="657"/>
      <c r="S64" s="657"/>
      <c r="T64" s="621"/>
      <c r="U64" s="76"/>
      <c r="V64" s="76"/>
      <c r="W64" s="76"/>
      <c r="X64" s="76"/>
      <c r="Y64" s="76"/>
      <c r="Z64" s="76"/>
      <c r="AA64" s="76"/>
    </row>
    <row r="65" spans="1:27" ht="15" x14ac:dyDescent="0.15">
      <c r="A65" s="333" t="s">
        <v>96</v>
      </c>
      <c r="B65" s="139"/>
      <c r="C65" s="139"/>
      <c r="D65" s="3" t="str">
        <f t="shared" si="5"/>
        <v>Extremely Low</v>
      </c>
      <c r="E65" s="22">
        <f>C65-$C$3</f>
        <v>-11</v>
      </c>
      <c r="F65" s="197" t="s">
        <v>229</v>
      </c>
      <c r="G65" s="76"/>
      <c r="H65" s="76"/>
      <c r="I65" s="76"/>
      <c r="J65" s="76"/>
      <c r="K65" s="76"/>
      <c r="L65" s="76"/>
      <c r="M65" s="76"/>
      <c r="N65" s="76"/>
      <c r="O65" s="621"/>
      <c r="P65" s="621"/>
      <c r="Q65" s="621"/>
      <c r="R65" s="621"/>
      <c r="S65" s="621"/>
      <c r="T65" s="621"/>
      <c r="U65" s="76"/>
      <c r="V65" s="76"/>
      <c r="W65" s="76"/>
      <c r="X65" s="76"/>
      <c r="Y65" s="76"/>
      <c r="Z65" s="76"/>
      <c r="AA65" s="76"/>
    </row>
    <row r="66" spans="1:27" ht="15" x14ac:dyDescent="0.15">
      <c r="A66" s="333" t="s">
        <v>18</v>
      </c>
      <c r="B66" s="139"/>
      <c r="C66" s="139"/>
      <c r="D66" s="3" t="str">
        <f t="shared" si="5"/>
        <v>Extremely Low</v>
      </c>
      <c r="E66" s="22">
        <f>C66-$C$5</f>
        <v>-11</v>
      </c>
      <c r="F66" s="197" t="s">
        <v>233</v>
      </c>
      <c r="G66" s="76"/>
      <c r="H66" s="76"/>
      <c r="I66" s="76"/>
      <c r="J66" s="76"/>
      <c r="K66" s="76"/>
      <c r="L66" s="76"/>
      <c r="M66" s="76"/>
      <c r="N66" s="76"/>
      <c r="O66" s="76"/>
      <c r="P66" s="76"/>
      <c r="Q66" s="76"/>
      <c r="R66" s="76"/>
      <c r="S66" s="76"/>
      <c r="T66" s="76"/>
      <c r="U66" s="76"/>
      <c r="V66" s="76"/>
      <c r="W66" s="76"/>
      <c r="X66" s="76"/>
      <c r="Y66" s="76"/>
      <c r="Z66" s="76"/>
      <c r="AA66" s="76"/>
    </row>
    <row r="67" spans="1:27" x14ac:dyDescent="0.15">
      <c r="A67" s="334" t="s">
        <v>215</v>
      </c>
      <c r="B67" s="243"/>
      <c r="C67" s="243"/>
      <c r="D67" s="3" t="str">
        <f t="shared" si="5"/>
        <v>Extremely Low</v>
      </c>
      <c r="E67" s="22">
        <f>C67-$C$4</f>
        <v>-10</v>
      </c>
      <c r="F67" s="197" t="s">
        <v>230</v>
      </c>
      <c r="G67" s="76"/>
      <c r="H67" s="76"/>
      <c r="I67" s="76"/>
      <c r="J67" s="76"/>
      <c r="K67" s="76"/>
      <c r="L67" s="76"/>
      <c r="M67" s="76"/>
      <c r="N67" s="76"/>
      <c r="O67" s="76"/>
      <c r="P67" s="76"/>
      <c r="Q67" s="76"/>
      <c r="R67" s="76"/>
      <c r="S67" s="76"/>
      <c r="T67" s="76"/>
      <c r="U67" s="76"/>
      <c r="V67" s="76"/>
      <c r="W67" s="76"/>
      <c r="X67" s="76"/>
      <c r="Y67" s="76"/>
      <c r="Z67" s="76"/>
      <c r="AA67" s="76"/>
    </row>
    <row r="68" spans="1:27" x14ac:dyDescent="0.15">
      <c r="A68" s="335" t="s">
        <v>216</v>
      </c>
      <c r="B68" s="243"/>
      <c r="C68" s="243"/>
      <c r="D68" s="3" t="str">
        <f t="shared" si="5"/>
        <v>Extremely Low</v>
      </c>
      <c r="E68" s="22">
        <f>C68-$C$3</f>
        <v>-11</v>
      </c>
      <c r="F68" s="197" t="s">
        <v>229</v>
      </c>
      <c r="G68" s="76"/>
      <c r="H68" s="76"/>
      <c r="I68" s="76"/>
      <c r="J68" s="76"/>
      <c r="K68" s="76"/>
      <c r="L68" s="76"/>
      <c r="M68" s="76"/>
      <c r="N68" s="76"/>
      <c r="O68" s="76"/>
      <c r="P68" s="76"/>
      <c r="Q68" s="76"/>
      <c r="R68" s="76"/>
      <c r="S68" s="76"/>
      <c r="T68" s="76"/>
      <c r="U68" s="76"/>
      <c r="V68" s="76"/>
      <c r="W68" s="76"/>
      <c r="X68" s="76"/>
      <c r="Y68" s="76"/>
      <c r="Z68" s="76"/>
      <c r="AA68" s="76"/>
    </row>
    <row r="69" spans="1:27" x14ac:dyDescent="0.15">
      <c r="A69" s="335" t="s">
        <v>217</v>
      </c>
      <c r="B69" s="243"/>
      <c r="C69" s="243"/>
      <c r="D69" s="3" t="str">
        <f t="shared" si="5"/>
        <v>Extremely Low</v>
      </c>
      <c r="E69" s="22">
        <f>C69-$C$5</f>
        <v>-11</v>
      </c>
      <c r="F69" s="197" t="s">
        <v>233</v>
      </c>
      <c r="G69" s="76"/>
      <c r="H69" s="76"/>
      <c r="I69" s="76"/>
      <c r="J69" s="76"/>
      <c r="K69" s="76"/>
      <c r="L69" s="76"/>
      <c r="M69" s="76"/>
      <c r="N69" s="76"/>
      <c r="O69" s="76"/>
      <c r="P69" s="76"/>
      <c r="Q69" s="76"/>
      <c r="R69" s="76"/>
      <c r="S69" s="76"/>
      <c r="T69" s="76"/>
      <c r="U69" s="76"/>
      <c r="V69" s="76"/>
      <c r="W69" s="76"/>
      <c r="X69" s="76"/>
      <c r="Y69" s="76"/>
      <c r="Z69" s="76"/>
      <c r="AA69" s="76"/>
    </row>
    <row r="70" spans="1:27" x14ac:dyDescent="0.15">
      <c r="A70" s="335" t="s">
        <v>218</v>
      </c>
      <c r="B70" s="243"/>
      <c r="C70" s="243"/>
      <c r="D70" s="3" t="str">
        <f t="shared" si="5"/>
        <v>Extremely Low</v>
      </c>
      <c r="E70" s="22">
        <f>C70-$C$6</f>
        <v>-10</v>
      </c>
      <c r="F70" s="197" t="s">
        <v>232</v>
      </c>
      <c r="G70" s="76"/>
      <c r="H70" s="76"/>
      <c r="I70" s="76"/>
      <c r="J70" s="76"/>
      <c r="K70" s="76"/>
      <c r="L70" s="76"/>
      <c r="M70" s="76"/>
      <c r="N70" s="76"/>
      <c r="O70" s="76"/>
      <c r="P70" s="76"/>
      <c r="Q70" s="76"/>
      <c r="R70" s="76"/>
      <c r="S70" s="76"/>
      <c r="T70" s="76"/>
      <c r="U70" s="76"/>
      <c r="V70" s="76"/>
      <c r="W70" s="76"/>
      <c r="X70" s="76"/>
      <c r="Y70" s="76"/>
      <c r="Z70" s="76"/>
      <c r="AA70" s="76"/>
    </row>
    <row r="71" spans="1:27" ht="15" x14ac:dyDescent="0.15">
      <c r="A71" s="333" t="s">
        <v>219</v>
      </c>
      <c r="B71" s="139"/>
      <c r="C71" s="139"/>
      <c r="D71" s="3" t="str">
        <f t="shared" si="5"/>
        <v>Extremely Low</v>
      </c>
      <c r="E71" s="22">
        <f>C71-$C$4</f>
        <v>-10</v>
      </c>
      <c r="F71" s="197" t="s">
        <v>230</v>
      </c>
      <c r="G71" s="76"/>
      <c r="H71" s="76"/>
      <c r="I71" s="76"/>
      <c r="J71" s="76"/>
      <c r="K71" s="76"/>
      <c r="L71" s="76"/>
      <c r="M71" s="76"/>
      <c r="N71" s="76"/>
      <c r="O71" s="76"/>
      <c r="P71" s="76"/>
      <c r="Q71" s="76"/>
      <c r="R71" s="76"/>
      <c r="S71" s="76"/>
      <c r="T71" s="76"/>
      <c r="U71" s="76"/>
      <c r="V71" s="76"/>
      <c r="W71" s="76"/>
      <c r="X71" s="76"/>
      <c r="Y71" s="76"/>
      <c r="Z71" s="76"/>
      <c r="AA71" s="76"/>
    </row>
    <row r="72" spans="1:27" ht="15" x14ac:dyDescent="0.15">
      <c r="A72" s="333" t="s">
        <v>220</v>
      </c>
      <c r="B72" s="139"/>
      <c r="C72" s="139"/>
      <c r="D72" s="3" t="str">
        <f t="shared" si="5"/>
        <v>Extremely Low</v>
      </c>
      <c r="E72" s="22">
        <f>C72-$C$3</f>
        <v>-11</v>
      </c>
      <c r="F72" s="197" t="s">
        <v>229</v>
      </c>
      <c r="G72" s="76"/>
      <c r="H72" s="76"/>
      <c r="I72" s="76"/>
      <c r="J72" s="76"/>
      <c r="K72" s="76"/>
      <c r="L72" s="76"/>
      <c r="M72" s="76"/>
      <c r="N72" s="76"/>
      <c r="O72" s="76"/>
      <c r="P72" s="76"/>
      <c r="Q72" s="76"/>
      <c r="R72" s="76"/>
      <c r="S72" s="76"/>
      <c r="T72" s="76"/>
      <c r="U72" s="76"/>
      <c r="V72" s="76"/>
      <c r="W72" s="76"/>
      <c r="X72" s="76"/>
      <c r="Y72" s="76"/>
      <c r="Z72" s="76"/>
      <c r="AA72" s="76"/>
    </row>
    <row r="73" spans="1:27" ht="15" x14ac:dyDescent="0.15">
      <c r="A73" s="333" t="s">
        <v>19</v>
      </c>
      <c r="B73" s="139"/>
      <c r="C73" s="139"/>
      <c r="D73" s="3" t="str">
        <f t="shared" si="5"/>
        <v>Extremely Low</v>
      </c>
      <c r="E73" s="22">
        <f>C73-$C$6</f>
        <v>-10</v>
      </c>
      <c r="F73" s="197" t="s">
        <v>232</v>
      </c>
      <c r="G73" s="76"/>
      <c r="H73" s="76"/>
      <c r="I73" s="76"/>
      <c r="J73" s="76"/>
      <c r="K73" s="76"/>
      <c r="L73" s="76"/>
      <c r="M73" s="76"/>
      <c r="N73" s="76"/>
      <c r="O73" s="76"/>
      <c r="P73" s="76"/>
      <c r="Q73" s="76"/>
      <c r="R73" s="76"/>
      <c r="S73" s="76"/>
      <c r="T73" s="76"/>
      <c r="U73" s="76"/>
      <c r="V73" s="76"/>
      <c r="W73" s="76"/>
      <c r="X73" s="76"/>
      <c r="Y73" s="76"/>
      <c r="Z73" s="76"/>
      <c r="AA73" s="76"/>
    </row>
    <row r="74" spans="1:27" ht="15" x14ac:dyDescent="0.15">
      <c r="A74" s="333" t="s">
        <v>221</v>
      </c>
      <c r="B74" s="139"/>
      <c r="C74" s="139"/>
      <c r="D74" s="3" t="str">
        <f t="shared" si="5"/>
        <v>Extremely Low</v>
      </c>
      <c r="E74" s="22">
        <f>C74-$C$5</f>
        <v>-11</v>
      </c>
      <c r="F74" s="197" t="s">
        <v>233</v>
      </c>
      <c r="G74" s="76"/>
      <c r="H74" s="76"/>
      <c r="I74" s="76"/>
      <c r="J74" s="76"/>
      <c r="K74" s="76"/>
      <c r="L74" s="76"/>
      <c r="M74" s="76"/>
      <c r="N74" s="76"/>
      <c r="O74" s="76"/>
      <c r="P74" s="76"/>
      <c r="Q74" s="76"/>
      <c r="R74" s="76"/>
      <c r="S74" s="76"/>
      <c r="T74" s="76"/>
      <c r="U74" s="76"/>
      <c r="V74" s="76"/>
      <c r="W74" s="76"/>
      <c r="X74" s="76"/>
      <c r="Y74" s="76"/>
      <c r="Z74" s="76"/>
      <c r="AA74" s="76"/>
    </row>
    <row r="75" spans="1:27" ht="15" x14ac:dyDescent="0.15">
      <c r="A75" s="333" t="s">
        <v>222</v>
      </c>
      <c r="B75" s="139"/>
      <c r="C75" s="139"/>
      <c r="D75" s="3" t="str">
        <f t="shared" si="5"/>
        <v>Extremely Low</v>
      </c>
      <c r="E75" s="22">
        <f>C75-$C$4</f>
        <v>-10</v>
      </c>
      <c r="F75" s="197" t="s">
        <v>230</v>
      </c>
      <c r="G75" s="76"/>
      <c r="H75" s="76"/>
      <c r="I75" s="76"/>
      <c r="J75" s="76"/>
      <c r="K75" s="76"/>
      <c r="L75" s="76"/>
      <c r="M75" s="76"/>
      <c r="N75" s="76"/>
      <c r="O75" s="76"/>
      <c r="P75" s="76"/>
      <c r="Q75" s="76"/>
      <c r="R75" s="76"/>
      <c r="S75" s="76"/>
      <c r="T75" s="76"/>
      <c r="U75" s="76"/>
      <c r="V75" s="76"/>
      <c r="W75" s="76"/>
      <c r="X75" s="76"/>
      <c r="Y75" s="76"/>
      <c r="Z75" s="76"/>
      <c r="AA75" s="76"/>
    </row>
    <row r="76" spans="1:27" ht="15" x14ac:dyDescent="0.15">
      <c r="A76" s="333" t="s">
        <v>152</v>
      </c>
      <c r="B76" s="139"/>
      <c r="C76" s="139"/>
      <c r="D76" s="3" t="str">
        <f t="shared" si="5"/>
        <v>Extremely Low</v>
      </c>
      <c r="E76" s="22">
        <f>C76-$C$3</f>
        <v>-11</v>
      </c>
      <c r="F76" s="197" t="s">
        <v>229</v>
      </c>
      <c r="G76" s="76"/>
      <c r="H76" s="76"/>
      <c r="I76" s="76"/>
      <c r="J76" s="76"/>
      <c r="K76" s="76"/>
      <c r="L76" s="76"/>
      <c r="M76" s="76"/>
      <c r="N76" s="76"/>
      <c r="O76" s="76"/>
      <c r="P76" s="76"/>
      <c r="Q76" s="76"/>
      <c r="R76" s="76"/>
      <c r="S76" s="76"/>
      <c r="T76" s="76"/>
      <c r="U76" s="76"/>
      <c r="V76" s="76"/>
      <c r="W76" s="76"/>
      <c r="X76" s="76"/>
      <c r="Y76" s="76"/>
      <c r="Z76" s="76"/>
      <c r="AA76" s="76"/>
    </row>
    <row r="77" spans="1:27" ht="15" x14ac:dyDescent="0.15">
      <c r="A77" s="113" t="s">
        <v>223</v>
      </c>
      <c r="B77" s="139"/>
      <c r="C77" s="139"/>
      <c r="D77" s="3" t="str">
        <f t="shared" si="5"/>
        <v>Extremely Low</v>
      </c>
      <c r="E77" s="22">
        <f>C77-$C$6</f>
        <v>-10</v>
      </c>
      <c r="F77" s="197" t="s">
        <v>232</v>
      </c>
      <c r="G77" s="76"/>
      <c r="H77" s="76"/>
      <c r="I77" s="76"/>
      <c r="J77" s="76"/>
      <c r="K77" s="76"/>
      <c r="L77" s="76"/>
      <c r="M77" s="76"/>
      <c r="N77" s="76"/>
      <c r="O77" s="76"/>
      <c r="P77" s="76"/>
      <c r="Q77" s="76"/>
      <c r="R77" s="76"/>
      <c r="S77" s="76"/>
      <c r="T77" s="76"/>
      <c r="U77" s="76"/>
      <c r="V77" s="76"/>
      <c r="W77" s="76"/>
      <c r="X77" s="76"/>
      <c r="Y77" s="76"/>
      <c r="Z77" s="76"/>
      <c r="AA77" s="76"/>
    </row>
    <row r="78" spans="1:27" ht="15" x14ac:dyDescent="0.15">
      <c r="A78" s="113" t="s">
        <v>224</v>
      </c>
      <c r="B78" s="139"/>
      <c r="C78" s="336"/>
      <c r="D78" s="3" t="str">
        <f t="shared" si="5"/>
        <v>Extremely Low</v>
      </c>
      <c r="E78" s="22">
        <f>C78-$C$4</f>
        <v>-10</v>
      </c>
      <c r="F78" s="197" t="s">
        <v>230</v>
      </c>
      <c r="G78" s="76"/>
      <c r="H78" s="76"/>
      <c r="I78" s="76"/>
      <c r="J78" s="76"/>
      <c r="K78" s="76"/>
      <c r="L78" s="76"/>
      <c r="M78" s="76"/>
      <c r="N78" s="76"/>
      <c r="O78" s="76"/>
      <c r="P78" s="76"/>
      <c r="Q78" s="76"/>
      <c r="R78" s="76"/>
      <c r="S78" s="76"/>
      <c r="T78" s="76"/>
      <c r="U78" s="76"/>
      <c r="V78" s="76"/>
      <c r="W78" s="76"/>
      <c r="X78" s="76"/>
      <c r="Y78" s="76"/>
      <c r="Z78" s="76"/>
      <c r="AA78" s="76"/>
    </row>
    <row r="79" spans="1:27" x14ac:dyDescent="0.15">
      <c r="A79" s="113"/>
      <c r="B79" s="337"/>
      <c r="C79" s="338"/>
      <c r="D79" s="338"/>
      <c r="E79" s="22"/>
      <c r="F79" s="76"/>
      <c r="G79" s="76"/>
      <c r="H79" s="76"/>
      <c r="I79" s="76"/>
      <c r="J79" s="76"/>
      <c r="K79" s="76"/>
      <c r="L79" s="76"/>
      <c r="M79" s="76"/>
      <c r="N79" s="76"/>
      <c r="O79" s="76"/>
      <c r="P79" s="76"/>
      <c r="Q79" s="76"/>
      <c r="R79" s="76"/>
      <c r="S79" s="76"/>
      <c r="T79" s="76"/>
      <c r="U79" s="76"/>
      <c r="V79" s="76"/>
      <c r="W79" s="76"/>
      <c r="X79" s="76"/>
      <c r="Y79" s="76"/>
      <c r="Z79" s="76"/>
      <c r="AA79" s="76"/>
    </row>
    <row r="80" spans="1:27" ht="15" x14ac:dyDescent="0.15">
      <c r="A80" s="113"/>
      <c r="B80" s="26" t="s">
        <v>2</v>
      </c>
      <c r="C80" s="313" t="s">
        <v>3</v>
      </c>
      <c r="D80" s="313" t="s">
        <v>4</v>
      </c>
      <c r="E80" s="26" t="s">
        <v>120</v>
      </c>
      <c r="F80" s="76"/>
      <c r="G80" s="76"/>
      <c r="H80" s="76"/>
      <c r="I80" s="76"/>
      <c r="J80" s="76"/>
      <c r="K80" s="76"/>
      <c r="L80" s="76"/>
      <c r="M80" s="76"/>
      <c r="N80" s="76"/>
      <c r="O80" s="76"/>
      <c r="P80" s="76"/>
      <c r="Q80" s="76"/>
      <c r="R80" s="76"/>
      <c r="S80" s="76"/>
      <c r="T80" s="76"/>
      <c r="U80" s="76"/>
      <c r="V80" s="76"/>
      <c r="W80" s="76"/>
      <c r="X80" s="76"/>
      <c r="Y80" s="76"/>
      <c r="Z80" s="76"/>
      <c r="AA80" s="76"/>
    </row>
    <row r="81" spans="1:27" ht="15" x14ac:dyDescent="0.15">
      <c r="A81" s="341" t="s">
        <v>76</v>
      </c>
      <c r="B81" s="273"/>
      <c r="C81" s="3" t="str">
        <f t="shared" ref="C81:C83" si="6">IF(B81&lt;58,"1",(IF(AND(B81&gt;=58,B81&lt;63),"2",(IF(AND(B81&gt;=63,B81&lt;68),"3",(IF(AND(B81&gt;=68,B81&lt;73),"4",(IF(AND(B81&gt;=73,B81&lt;78),"5",(IF(AND(B81&gt;=78,B81&lt;83),"6",(IF(AND(B81&gt;=83,B81&lt;88),"7",(IF(AND(B81&gt;=88,B81&lt;93),"8",(IF(AND(B81&gt;=93,B81&lt;98),"9",(IF(AND(B81&gt;=98,B81&lt;103),"10",(IF(AND(B81&gt;=103,B81&lt;108),"11",(IF(AND(B81&gt;=108,B81&lt;113),"12",(IF(AND(B81&gt;=113,B81&lt;118),"13",(IF(AND(B81&gt;=118,B81&lt;123),"14",(IF(AND(B81&gt;=123,B81&lt;128),"15",(IF(AND(B81&gt;=128,B81&lt;133),"16",(IF(AND(B81&gt;=133,B81&lt;138),"17",(IF(AND(B81&gt;=138,B81&lt;143),"18","19")))))))))))))))))))))))))))))))))))</f>
        <v>1</v>
      </c>
      <c r="D81" s="3" t="str">
        <f t="shared" ref="D81:D83" si="7">IF(B81&lt;70,"Extremely Low", (IF(AND(B81&gt;=70,B81&lt;80),"Borderline",(IF(AND(B81&gt;=80,B81&lt;90),"Low Average",(IF(AND(B81&gt;=90,B81&lt;110),"Average",(IF(AND(B81&gt;=110,B81&lt;120),"High Average",(IF(AND(B81&gt;=120,B81&lt;130),"Superior","Very Superior")))))))))))</f>
        <v>Extremely Low</v>
      </c>
      <c r="E81" s="4">
        <f>((1/15)*(B81-100)+0)-F2</f>
        <v>-6.8759843999999983</v>
      </c>
      <c r="F81" s="76"/>
      <c r="G81" s="76"/>
      <c r="H81" s="76"/>
      <c r="I81" s="76"/>
      <c r="J81" s="76"/>
      <c r="K81" s="76"/>
      <c r="L81" s="76"/>
      <c r="M81" s="76"/>
      <c r="N81" s="76"/>
      <c r="O81" s="76"/>
      <c r="P81" s="76"/>
      <c r="Q81" s="76"/>
      <c r="R81" s="76"/>
      <c r="S81" s="76"/>
      <c r="T81" s="76"/>
      <c r="U81" s="76"/>
      <c r="V81" s="76"/>
      <c r="W81" s="76"/>
      <c r="X81" s="76"/>
      <c r="Y81" s="76"/>
      <c r="Z81" s="76"/>
      <c r="AA81" s="76"/>
    </row>
    <row r="82" spans="1:27" ht="15" x14ac:dyDescent="0.15">
      <c r="A82" s="341" t="s">
        <v>229</v>
      </c>
      <c r="B82" s="273"/>
      <c r="C82" s="3" t="str">
        <f t="shared" si="6"/>
        <v>1</v>
      </c>
      <c r="D82" s="3" t="str">
        <f t="shared" si="7"/>
        <v>Extremely Low</v>
      </c>
      <c r="E82" s="4">
        <f>((1/15)*(B82-100)+0)-F3</f>
        <v>-6.9095687333333347</v>
      </c>
      <c r="F82" s="76"/>
      <c r="G82" s="76"/>
      <c r="H82" s="76"/>
      <c r="I82" s="76"/>
      <c r="J82" s="76"/>
      <c r="K82" s="76"/>
      <c r="L82" s="76"/>
      <c r="M82" s="76"/>
      <c r="N82" s="76"/>
      <c r="O82" s="76"/>
      <c r="P82" s="76"/>
      <c r="Q82" s="76"/>
      <c r="R82" s="76"/>
      <c r="S82" s="76"/>
      <c r="T82" s="76"/>
      <c r="U82" s="76"/>
      <c r="V82" s="76"/>
      <c r="W82" s="76"/>
      <c r="X82" s="76"/>
      <c r="Y82" s="76"/>
      <c r="Z82" s="76"/>
      <c r="AA82" s="76"/>
    </row>
    <row r="83" spans="1:27" ht="15" x14ac:dyDescent="0.15">
      <c r="A83" s="341" t="s">
        <v>230</v>
      </c>
      <c r="B83" s="273"/>
      <c r="C83" s="3" t="str">
        <f t="shared" si="6"/>
        <v>1</v>
      </c>
      <c r="D83" s="3" t="str">
        <f t="shared" si="7"/>
        <v>Extremely Low</v>
      </c>
      <c r="E83" s="4">
        <f>((1/15)*(B83-100)+0)-F4</f>
        <v>-6.7250989866666666</v>
      </c>
      <c r="F83" s="76"/>
      <c r="G83" s="76"/>
      <c r="H83" s="76"/>
      <c r="I83" s="76"/>
      <c r="J83" s="76"/>
      <c r="K83" s="76"/>
      <c r="L83" s="76"/>
      <c r="M83" s="76"/>
      <c r="N83" s="76"/>
      <c r="O83" s="76"/>
      <c r="P83" s="76"/>
      <c r="Q83" s="76"/>
      <c r="R83" s="76"/>
      <c r="S83" s="76"/>
      <c r="T83" s="76"/>
      <c r="U83" s="76"/>
      <c r="V83" s="76"/>
      <c r="W83" s="76"/>
      <c r="X83" s="76"/>
      <c r="Y83" s="76"/>
      <c r="Z83" s="76"/>
      <c r="AA83" s="76"/>
    </row>
    <row r="84" spans="1:27" x14ac:dyDescent="0.15">
      <c r="A84" s="342" t="s">
        <v>231</v>
      </c>
      <c r="B84" s="273"/>
      <c r="C84" s="3" t="str">
        <f t="shared" ref="C84:C85" si="8">IF(B84&lt;58,"1",(IF(AND(B84&gt;=58,B84&lt;63),"2",(IF(AND(B84&gt;=63,B84&lt;68),"3",(IF(AND(B84&gt;=68,B84&lt;73),"4",(IF(AND(B84&gt;=73,B84&lt;78),"5",(IF(AND(B84&gt;=78,B84&lt;83),"6",(IF(AND(B84&gt;=83,B84&lt;88),"7",(IF(AND(B84&gt;=88,B84&lt;93),"8",(IF(AND(B84&gt;=93,B84&lt;98),"9",(IF(AND(B84&gt;=98,B84&lt;103),"10",(IF(AND(B84&gt;=103,B84&lt;108),"11",(IF(AND(B84&gt;=108,B84&lt;113),"12",(IF(AND(B84&gt;=113,B84&lt;118),"13",(IF(AND(B84&gt;=118,B84&lt;123),"14",(IF(AND(B84&gt;=123,B84&lt;128),"15",(IF(AND(B84&gt;=128,B84&lt;133),"16",(IF(AND(B84&gt;=133,B84&lt;138),"17",(IF(AND(B84&gt;=138,B84&lt;143),"18","19")))))))))))))))))))))))))))))))))))</f>
        <v>1</v>
      </c>
      <c r="D84" s="3" t="str">
        <f t="shared" ref="D84:D85" si="9">IF(B84&lt;70,"Extremely Low", (IF(AND(B84&gt;=70,B84&lt;80),"Borderline",(IF(AND(B84&gt;=80,B84&lt;90),"Low Average",(IF(AND(B84&gt;=90,B84&lt;110),"Average",(IF(AND(B84&gt;=110,B84&lt;120),"High Average",(IF(AND(B84&gt;=120,B84&lt;130),"Superior","Very Superior")))))))))))</f>
        <v>Extremely Low</v>
      </c>
      <c r="E84" s="4">
        <f>((1/15)*(B84-100)+0)-F5</f>
        <v>-6.9289510666666665</v>
      </c>
      <c r="F84" s="76"/>
      <c r="G84" s="76"/>
      <c r="H84" s="76"/>
      <c r="I84" s="76"/>
      <c r="J84" s="76"/>
      <c r="K84" s="76"/>
      <c r="L84" s="76"/>
      <c r="M84" s="76"/>
      <c r="N84" s="76"/>
      <c r="O84" s="76"/>
      <c r="P84" s="76"/>
      <c r="Q84" s="76"/>
      <c r="R84" s="76"/>
      <c r="S84" s="76"/>
      <c r="T84" s="76"/>
      <c r="U84" s="76"/>
      <c r="V84" s="76"/>
      <c r="W84" s="76"/>
      <c r="X84" s="76"/>
      <c r="Y84" s="76"/>
      <c r="Z84" s="76"/>
      <c r="AA84" s="76"/>
    </row>
    <row r="85" spans="1:27" x14ac:dyDescent="0.15">
      <c r="A85" s="343" t="s">
        <v>232</v>
      </c>
      <c r="B85" s="273"/>
      <c r="C85" s="3" t="str">
        <f t="shared" si="8"/>
        <v>1</v>
      </c>
      <c r="D85" s="3" t="str">
        <f t="shared" si="9"/>
        <v>Extremely Low</v>
      </c>
      <c r="E85" s="4">
        <f>((1/15)*(B85-100)+0)-F6</f>
        <v>-6.7783270000000027</v>
      </c>
      <c r="F85" s="76"/>
      <c r="G85" s="76"/>
      <c r="H85" s="76"/>
      <c r="I85" s="76"/>
      <c r="J85" s="76"/>
      <c r="K85" s="76"/>
      <c r="L85" s="76"/>
      <c r="M85" s="76"/>
      <c r="N85" s="76"/>
      <c r="O85" s="76"/>
      <c r="P85" s="76"/>
      <c r="Q85" s="76"/>
      <c r="R85" s="76"/>
      <c r="S85" s="76"/>
      <c r="T85" s="76"/>
      <c r="U85" s="76"/>
      <c r="V85" s="76"/>
      <c r="W85" s="76"/>
      <c r="X85" s="76"/>
      <c r="Y85" s="76"/>
      <c r="Z85" s="76"/>
      <c r="AA85" s="76"/>
    </row>
    <row r="86" spans="1:27" ht="25.75" customHeight="1" x14ac:dyDescent="0.15">
      <c r="A86" s="545" t="s">
        <v>567</v>
      </c>
      <c r="B86" s="546" t="s">
        <v>561</v>
      </c>
      <c r="C86" s="544" t="s">
        <v>562</v>
      </c>
      <c r="D86" s="544" t="s">
        <v>40</v>
      </c>
      <c r="E86" s="550" t="s">
        <v>120</v>
      </c>
      <c r="F86" s="76"/>
      <c r="G86" s="76"/>
      <c r="H86" s="76"/>
      <c r="I86" s="76"/>
      <c r="J86" s="76"/>
      <c r="K86" s="76"/>
      <c r="L86" s="76"/>
      <c r="M86" s="76"/>
      <c r="N86" s="76"/>
      <c r="O86" s="76"/>
      <c r="P86" s="76"/>
      <c r="Q86" s="76"/>
      <c r="R86" s="76"/>
      <c r="S86" s="76"/>
      <c r="T86" s="76"/>
      <c r="U86" s="76"/>
      <c r="V86" s="76"/>
      <c r="W86" s="76"/>
      <c r="X86" s="76"/>
      <c r="Y86" s="76"/>
      <c r="Z86" s="76"/>
      <c r="AA86" s="76"/>
    </row>
    <row r="87" spans="1:27" ht="25.75" customHeight="1" x14ac:dyDescent="0.15">
      <c r="A87" s="548" t="s">
        <v>565</v>
      </c>
      <c r="B87" s="547">
        <f>IF(TOPF!E10="Female",2,1)</f>
        <v>2</v>
      </c>
      <c r="C87" s="103"/>
      <c r="D87" s="103"/>
      <c r="E87" s="489"/>
      <c r="F87" s="76"/>
      <c r="G87" s="76"/>
      <c r="H87" s="76"/>
      <c r="I87" s="76"/>
      <c r="J87" s="76"/>
      <c r="K87" s="76"/>
      <c r="L87" s="76"/>
      <c r="M87" s="76"/>
      <c r="N87" s="76"/>
      <c r="O87" s="76"/>
      <c r="P87" s="76"/>
      <c r="Q87" s="76"/>
      <c r="R87" s="76"/>
      <c r="S87" s="76"/>
      <c r="T87" s="76"/>
      <c r="U87" s="76"/>
      <c r="V87" s="76"/>
      <c r="W87" s="76"/>
      <c r="X87" s="76"/>
      <c r="Y87" s="76"/>
      <c r="Z87" s="76"/>
      <c r="AA87" s="76"/>
    </row>
    <row r="88" spans="1:27" x14ac:dyDescent="0.15">
      <c r="A88" s="94" t="s">
        <v>563</v>
      </c>
      <c r="B88" s="100"/>
      <c r="C88" s="94">
        <f>(-1)*((B88-(9.7995236 + (-0.327358*B87) + (0.5602899*TOPF!F11) + (-1.0250806*TOPF!F9)))/(13.91769))</f>
        <v>2.6177781585880995</v>
      </c>
      <c r="D88" s="286">
        <f>(3/1)*(C88-0)+10</f>
        <v>17.853334475764299</v>
      </c>
      <c r="E88" s="4">
        <f>C88-$F$2</f>
        <v>2.4084604252547686</v>
      </c>
      <c r="F88" s="76"/>
      <c r="G88" s="76"/>
      <c r="H88" s="76"/>
      <c r="I88" s="76"/>
      <c r="J88" s="76"/>
      <c r="K88" s="76"/>
      <c r="L88" s="76"/>
      <c r="M88" s="76"/>
      <c r="N88" s="76"/>
      <c r="O88" s="76"/>
      <c r="P88" s="76"/>
      <c r="Q88" s="76"/>
      <c r="R88" s="76"/>
      <c r="S88" s="76"/>
      <c r="T88" s="76"/>
      <c r="U88" s="76"/>
      <c r="V88" s="76"/>
      <c r="W88" s="76"/>
      <c r="X88" s="76"/>
      <c r="Y88" s="76"/>
      <c r="Z88" s="76"/>
      <c r="AA88" s="76"/>
    </row>
    <row r="89" spans="1:27" x14ac:dyDescent="0.15">
      <c r="A89" s="94" t="s">
        <v>564</v>
      </c>
      <c r="B89" s="100"/>
      <c r="C89" s="94">
        <f>(-1)*((B89-(43.216988 + (-2.948423*B87) + (1.700573*TOPF!F11) + (-4.884626*TOPF!F9)))/(44.42661))</f>
        <v>2.3052011620963202</v>
      </c>
      <c r="D89" s="286">
        <f>(3/1)*(C89-0)+10</f>
        <v>16.915603486288958</v>
      </c>
      <c r="E89" s="4">
        <f>C89-$F$2</f>
        <v>2.0958834287629893</v>
      </c>
      <c r="F89" s="76"/>
      <c r="G89" s="76"/>
      <c r="H89" s="76"/>
      <c r="I89" s="76"/>
      <c r="J89" s="76"/>
      <c r="K89" s="76"/>
      <c r="L89" s="76"/>
      <c r="M89" s="76"/>
      <c r="N89" s="76"/>
      <c r="O89" s="76"/>
      <c r="P89" s="76"/>
      <c r="Q89" s="76"/>
      <c r="R89" s="76"/>
      <c r="S89" s="76"/>
      <c r="T89" s="76"/>
      <c r="U89" s="76"/>
      <c r="V89" s="76"/>
      <c r="W89" s="76"/>
      <c r="X89" s="76"/>
      <c r="Y89" s="76"/>
      <c r="Z89" s="76"/>
      <c r="AA89" s="76"/>
    </row>
    <row r="90" spans="1:27" x14ac:dyDescent="0.15">
      <c r="A90" s="551" t="s">
        <v>568</v>
      </c>
      <c r="B90" s="76"/>
      <c r="C90" s="76"/>
      <c r="D90" s="76"/>
      <c r="E90" s="124"/>
      <c r="F90" s="76"/>
      <c r="G90" s="76"/>
      <c r="H90" s="76"/>
      <c r="I90" s="76"/>
      <c r="J90" s="76"/>
      <c r="K90" s="76"/>
      <c r="L90" s="76"/>
      <c r="M90" s="76"/>
      <c r="N90" s="76"/>
      <c r="O90" s="76"/>
      <c r="P90" s="76"/>
      <c r="Q90" s="76"/>
      <c r="R90" s="76"/>
      <c r="S90" s="76"/>
      <c r="T90" s="76"/>
      <c r="U90" s="76"/>
      <c r="V90" s="76"/>
      <c r="W90" s="76"/>
      <c r="X90" s="76"/>
      <c r="Y90" s="76"/>
      <c r="Z90" s="76"/>
      <c r="AA90" s="76"/>
    </row>
    <row r="91" spans="1:27" x14ac:dyDescent="0.15">
      <c r="A91" s="549" t="s">
        <v>566</v>
      </c>
      <c r="B91" s="87"/>
      <c r="C91" s="87"/>
      <c r="D91" s="87"/>
      <c r="E91" s="123"/>
      <c r="F91" s="76"/>
      <c r="G91" s="76"/>
      <c r="H91" s="76"/>
      <c r="I91" s="76"/>
      <c r="J91" s="76"/>
      <c r="K91" s="76"/>
      <c r="L91" s="76"/>
      <c r="M91" s="76"/>
      <c r="N91" s="76"/>
      <c r="O91" s="76"/>
      <c r="P91" s="76"/>
      <c r="Q91" s="76"/>
      <c r="R91" s="76"/>
      <c r="S91" s="76"/>
      <c r="T91" s="76"/>
      <c r="U91" s="76"/>
      <c r="V91" s="76"/>
      <c r="W91" s="76"/>
      <c r="X91" s="76"/>
      <c r="Y91" s="76"/>
      <c r="Z91" s="76"/>
      <c r="AA91" s="76"/>
    </row>
    <row r="92" spans="1:27" x14ac:dyDescent="0.15">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c r="AA92" s="76"/>
    </row>
    <row r="93" spans="1:27" x14ac:dyDescent="0.15">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c r="AA93" s="76"/>
    </row>
    <row r="94" spans="1:27" x14ac:dyDescent="0.15">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c r="AA94" s="76"/>
    </row>
    <row r="95" spans="1:27" x14ac:dyDescent="0.15">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c r="AA95" s="76"/>
    </row>
    <row r="96" spans="1:27" x14ac:dyDescent="0.15">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c r="AA96" s="76"/>
    </row>
    <row r="97" spans="1:27" x14ac:dyDescent="0.15">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c r="AA97" s="76"/>
    </row>
    <row r="98" spans="1:27" x14ac:dyDescent="0.15">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c r="AA98" s="76"/>
    </row>
    <row r="99" spans="1:27" x14ac:dyDescent="0.15">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c r="AA99" s="76"/>
    </row>
    <row r="100" spans="1:27" x14ac:dyDescent="0.15">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row>
    <row r="101" spans="1:27" x14ac:dyDescent="0.15">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row>
    <row r="102" spans="1:27" x14ac:dyDescent="0.15">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row>
    <row r="103" spans="1:27" x14ac:dyDescent="0.15">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row>
    <row r="104" spans="1:27" x14ac:dyDescent="0.15">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row>
    <row r="105" spans="1:27" x14ac:dyDescent="0.15">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row>
    <row r="106" spans="1:27" x14ac:dyDescent="0.15">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row>
    <row r="107" spans="1:27" x14ac:dyDescent="0.15">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row>
    <row r="108" spans="1:27" x14ac:dyDescent="0.15">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row>
    <row r="109" spans="1:27" x14ac:dyDescent="0.15">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row>
    <row r="110" spans="1:27" x14ac:dyDescent="0.15">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row>
    <row r="111" spans="1:27" x14ac:dyDescent="0.15">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row>
    <row r="112" spans="1:27" x14ac:dyDescent="0.15">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row>
    <row r="113" spans="1:27" x14ac:dyDescent="0.15">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row>
    <row r="114" spans="1:27" x14ac:dyDescent="0.15">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row>
    <row r="115" spans="1:27" x14ac:dyDescent="0.15">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c r="AA115" s="76"/>
    </row>
    <row r="116" spans="1:27" x14ac:dyDescent="0.15">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c r="AA116" s="76"/>
    </row>
    <row r="117" spans="1:27" x14ac:dyDescent="0.15">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c r="AA117" s="76"/>
    </row>
    <row r="118" spans="1:27" x14ac:dyDescent="0.15">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c r="AA118" s="76"/>
    </row>
    <row r="119" spans="1:27" x14ac:dyDescent="0.15">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c r="AA119" s="76"/>
    </row>
    <row r="120" spans="1:27" x14ac:dyDescent="0.15">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c r="AA120" s="76"/>
    </row>
    <row r="121" spans="1:27" x14ac:dyDescent="0.15">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c r="AA121" s="76"/>
    </row>
    <row r="122" spans="1:27" x14ac:dyDescent="0.15">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c r="AA122" s="76"/>
    </row>
    <row r="123" spans="1:27" x14ac:dyDescent="0.15">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c r="AA123" s="76"/>
    </row>
    <row r="124" spans="1:27" x14ac:dyDescent="0.15">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c r="AA124" s="76"/>
    </row>
    <row r="125" spans="1:27" x14ac:dyDescent="0.15">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c r="AA125" s="76"/>
    </row>
    <row r="126" spans="1:27" x14ac:dyDescent="0.15">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c r="AA126" s="76"/>
    </row>
    <row r="127" spans="1:27" x14ac:dyDescent="0.15">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c r="AA127" s="76"/>
    </row>
    <row r="128" spans="1:27" x14ac:dyDescent="0.15">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76"/>
    </row>
    <row r="129" spans="1:27" x14ac:dyDescent="0.15">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c r="AA129" s="76"/>
    </row>
    <row r="130" spans="1:27" x14ac:dyDescent="0.15">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c r="AA130" s="76"/>
    </row>
    <row r="131" spans="1:27" x14ac:dyDescent="0.15">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c r="AA131" s="76"/>
    </row>
    <row r="132" spans="1:27" x14ac:dyDescent="0.15">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c r="AA132" s="76"/>
    </row>
    <row r="133" spans="1:27" x14ac:dyDescent="0.15">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c r="AA133" s="76"/>
    </row>
    <row r="134" spans="1:27" x14ac:dyDescent="0.15">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c r="AA134" s="76"/>
    </row>
    <row r="135" spans="1:27" x14ac:dyDescent="0.15">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c r="AA135" s="76"/>
    </row>
    <row r="136" spans="1:27" x14ac:dyDescent="0.15">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c r="AA136" s="76"/>
    </row>
    <row r="137" spans="1:27" x14ac:dyDescent="0.15">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c r="AA137" s="76"/>
    </row>
    <row r="138" spans="1:27" x14ac:dyDescent="0.15">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c r="AA138" s="76"/>
    </row>
    <row r="139" spans="1:27" x14ac:dyDescent="0.15">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c r="AA139" s="76"/>
    </row>
    <row r="140" spans="1:27" x14ac:dyDescent="0.15">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row>
  </sheetData>
  <protectedRanges>
    <protectedRange sqref="B7:B10 B2" name="Range1"/>
  </protectedRanges>
  <mergeCells count="2">
    <mergeCell ref="G57:I57"/>
    <mergeCell ref="J57:K57"/>
  </mergeCells>
  <conditionalFormatting sqref="E14:E17 E79">
    <cfRule type="cellIs" dxfId="146" priority="203" operator="lessThanOrEqual">
      <formula>-6</formula>
    </cfRule>
    <cfRule type="cellIs" dxfId="145" priority="204" operator="between">
      <formula>-5</formula>
      <formula>-3</formula>
    </cfRule>
    <cfRule type="cellIs" dxfId="144" priority="205" operator="between">
      <formula>-2</formula>
      <formula>-1</formula>
    </cfRule>
  </conditionalFormatting>
  <conditionalFormatting sqref="E14:E17 E79">
    <cfRule type="cellIs" dxfId="143" priority="202" operator="greaterThanOrEqual">
      <formula>0</formula>
    </cfRule>
  </conditionalFormatting>
  <conditionalFormatting sqref="E22:E26 E28:E31">
    <cfRule type="cellIs" dxfId="142" priority="199" operator="lessThanOrEqual">
      <formula>-6</formula>
    </cfRule>
    <cfRule type="cellIs" dxfId="141" priority="200" operator="between">
      <formula>-5</formula>
      <formula>-3</formula>
    </cfRule>
    <cfRule type="cellIs" dxfId="140" priority="201" operator="between">
      <formula>-2</formula>
      <formula>-1</formula>
    </cfRule>
  </conditionalFormatting>
  <conditionalFormatting sqref="E22:E26 E28:E31">
    <cfRule type="cellIs" dxfId="139" priority="198" operator="greaterThanOrEqual">
      <formula>0</formula>
    </cfRule>
  </conditionalFormatting>
  <conditionalFormatting sqref="E33">
    <cfRule type="cellIs" dxfId="138" priority="195" operator="lessThanOrEqual">
      <formula>-6</formula>
    </cfRule>
    <cfRule type="cellIs" dxfId="137" priority="196" operator="between">
      <formula>-5</formula>
      <formula>-3</formula>
    </cfRule>
    <cfRule type="cellIs" dxfId="136" priority="197" operator="between">
      <formula>-2</formula>
      <formula>-1</formula>
    </cfRule>
  </conditionalFormatting>
  <conditionalFormatting sqref="E33">
    <cfRule type="cellIs" dxfId="135" priority="194" operator="greaterThanOrEqual">
      <formula>0</formula>
    </cfRule>
  </conditionalFormatting>
  <conditionalFormatting sqref="E43">
    <cfRule type="cellIs" dxfId="134" priority="191" operator="lessThanOrEqual">
      <formula>-6</formula>
    </cfRule>
    <cfRule type="cellIs" dxfId="133" priority="192" operator="between">
      <formula>-5</formula>
      <formula>-3</formula>
    </cfRule>
    <cfRule type="cellIs" dxfId="132" priority="193" operator="between">
      <formula>-2</formula>
      <formula>-1</formula>
    </cfRule>
  </conditionalFormatting>
  <conditionalFormatting sqref="E43">
    <cfRule type="cellIs" dxfId="131" priority="190" operator="greaterThanOrEqual">
      <formula>0</formula>
    </cfRule>
  </conditionalFormatting>
  <conditionalFormatting sqref="E47:E49">
    <cfRule type="cellIs" dxfId="130" priority="189" operator="between">
      <formula>-1</formula>
      <formula>0</formula>
    </cfRule>
  </conditionalFormatting>
  <conditionalFormatting sqref="E47:E49">
    <cfRule type="cellIs" dxfId="129" priority="187" operator="lessThanOrEqual">
      <formula>-2</formula>
    </cfRule>
  </conditionalFormatting>
  <conditionalFormatting sqref="E47:E49">
    <cfRule type="cellIs" dxfId="128" priority="188" operator="between">
      <formula>-1.99999</formula>
      <formula>-1.5</formula>
    </cfRule>
  </conditionalFormatting>
  <conditionalFormatting sqref="E47:E49">
    <cfRule type="cellIs" dxfId="127" priority="185" operator="greaterThan">
      <formula>0</formula>
    </cfRule>
    <cfRule type="cellIs" dxfId="126" priority="186" operator="between">
      <formula>-1.49999</formula>
      <formula>-1.00001</formula>
    </cfRule>
  </conditionalFormatting>
  <conditionalFormatting sqref="E41">
    <cfRule type="cellIs" dxfId="125" priority="161" operator="lessThanOrEqual">
      <formula>-6</formula>
    </cfRule>
    <cfRule type="cellIs" dxfId="124" priority="162" operator="between">
      <formula>-5</formula>
      <formula>-3</formula>
    </cfRule>
    <cfRule type="cellIs" dxfId="123" priority="163" operator="between">
      <formula>-2</formula>
      <formula>-1</formula>
    </cfRule>
  </conditionalFormatting>
  <conditionalFormatting sqref="E41">
    <cfRule type="cellIs" dxfId="122" priority="160" operator="greaterThanOrEqual">
      <formula>0</formula>
    </cfRule>
  </conditionalFormatting>
  <conditionalFormatting sqref="E11:E12">
    <cfRule type="cellIs" dxfId="121" priority="157" operator="lessThanOrEqual">
      <formula>-6</formula>
    </cfRule>
    <cfRule type="cellIs" dxfId="120" priority="158" operator="between">
      <formula>-5</formula>
      <formula>-3</formula>
    </cfRule>
    <cfRule type="cellIs" dxfId="119" priority="159" operator="between">
      <formula>-2</formula>
      <formula>-1</formula>
    </cfRule>
  </conditionalFormatting>
  <conditionalFormatting sqref="E11:E12">
    <cfRule type="cellIs" dxfId="118" priority="156" operator="greaterThanOrEqual">
      <formula>0</formula>
    </cfRule>
  </conditionalFormatting>
  <conditionalFormatting sqref="E64">
    <cfRule type="cellIs" dxfId="117" priority="153" operator="lessThanOrEqual">
      <formula>-6</formula>
    </cfRule>
    <cfRule type="cellIs" dxfId="116" priority="154" operator="between">
      <formula>-5</formula>
      <formula>-3</formula>
    </cfRule>
    <cfRule type="cellIs" dxfId="115" priority="155" operator="between">
      <formula>-2</formula>
      <formula>-1</formula>
    </cfRule>
  </conditionalFormatting>
  <conditionalFormatting sqref="E64">
    <cfRule type="cellIs" dxfId="114" priority="152" operator="greaterThanOrEqual">
      <formula>0</formula>
    </cfRule>
  </conditionalFormatting>
  <conditionalFormatting sqref="E65:E66">
    <cfRule type="cellIs" dxfId="113" priority="123" operator="lessThanOrEqual">
      <formula>-6</formula>
    </cfRule>
    <cfRule type="cellIs" dxfId="112" priority="124" operator="between">
      <formula>-5</formula>
      <formula>-3</formula>
    </cfRule>
    <cfRule type="cellIs" dxfId="111" priority="125" operator="between">
      <formula>-2</formula>
      <formula>-1</formula>
    </cfRule>
  </conditionalFormatting>
  <conditionalFormatting sqref="E65:E66">
    <cfRule type="cellIs" dxfId="110" priority="122" operator="greaterThanOrEqual">
      <formula>0</formula>
    </cfRule>
  </conditionalFormatting>
  <conditionalFormatting sqref="E19">
    <cfRule type="cellIs" dxfId="109" priority="115" operator="lessThanOrEqual">
      <formula>-6</formula>
    </cfRule>
    <cfRule type="cellIs" dxfId="108" priority="116" operator="between">
      <formula>-5</formula>
      <formula>-3</formula>
    </cfRule>
    <cfRule type="cellIs" dxfId="107" priority="117" operator="between">
      <formula>-2</formula>
      <formula>-1</formula>
    </cfRule>
  </conditionalFormatting>
  <conditionalFormatting sqref="E19">
    <cfRule type="cellIs" dxfId="106" priority="114" operator="greaterThanOrEqual">
      <formula>0</formula>
    </cfRule>
  </conditionalFormatting>
  <conditionalFormatting sqref="E20">
    <cfRule type="cellIs" dxfId="105" priority="111" operator="lessThanOrEqual">
      <formula>-6</formula>
    </cfRule>
    <cfRule type="cellIs" dxfId="104" priority="112" operator="between">
      <formula>-5</formula>
      <formula>-3</formula>
    </cfRule>
    <cfRule type="cellIs" dxfId="103" priority="113" operator="between">
      <formula>-2</formula>
      <formula>-1</formula>
    </cfRule>
  </conditionalFormatting>
  <conditionalFormatting sqref="E20">
    <cfRule type="cellIs" dxfId="102" priority="110" operator="greaterThanOrEqual">
      <formula>0</formula>
    </cfRule>
  </conditionalFormatting>
  <conditionalFormatting sqref="E21">
    <cfRule type="cellIs" dxfId="101" priority="107" operator="lessThanOrEqual">
      <formula>-6</formula>
    </cfRule>
    <cfRule type="cellIs" dxfId="100" priority="108" operator="between">
      <formula>-5</formula>
      <formula>-3</formula>
    </cfRule>
    <cfRule type="cellIs" dxfId="99" priority="109" operator="between">
      <formula>-2</formula>
      <formula>-1</formula>
    </cfRule>
  </conditionalFormatting>
  <conditionalFormatting sqref="E21">
    <cfRule type="cellIs" dxfId="98" priority="106" operator="greaterThanOrEqual">
      <formula>0</formula>
    </cfRule>
  </conditionalFormatting>
  <conditionalFormatting sqref="E34">
    <cfRule type="cellIs" dxfId="97" priority="103" operator="lessThanOrEqual">
      <formula>-6</formula>
    </cfRule>
    <cfRule type="cellIs" dxfId="96" priority="104" operator="between">
      <formula>-5</formula>
      <formula>-3</formula>
    </cfRule>
    <cfRule type="cellIs" dxfId="95" priority="105" operator="between">
      <formula>-2</formula>
      <formula>-1</formula>
    </cfRule>
  </conditionalFormatting>
  <conditionalFormatting sqref="E34">
    <cfRule type="cellIs" dxfId="94" priority="102" operator="greaterThanOrEqual">
      <formula>0</formula>
    </cfRule>
  </conditionalFormatting>
  <conditionalFormatting sqref="E35">
    <cfRule type="cellIs" dxfId="93" priority="99" operator="lessThanOrEqual">
      <formula>-6</formula>
    </cfRule>
    <cfRule type="cellIs" dxfId="92" priority="100" operator="between">
      <formula>-5</formula>
      <formula>-3</formula>
    </cfRule>
    <cfRule type="cellIs" dxfId="91" priority="101" operator="between">
      <formula>-2</formula>
      <formula>-1</formula>
    </cfRule>
  </conditionalFormatting>
  <conditionalFormatting sqref="E35">
    <cfRule type="cellIs" dxfId="90" priority="98" operator="greaterThanOrEqual">
      <formula>0</formula>
    </cfRule>
  </conditionalFormatting>
  <conditionalFormatting sqref="E36">
    <cfRule type="cellIs" dxfId="89" priority="95" operator="lessThanOrEqual">
      <formula>-6</formula>
    </cfRule>
    <cfRule type="cellIs" dxfId="88" priority="96" operator="between">
      <formula>-5</formula>
      <formula>-3</formula>
    </cfRule>
    <cfRule type="cellIs" dxfId="87" priority="97" operator="between">
      <formula>-2</formula>
      <formula>-1</formula>
    </cfRule>
  </conditionalFormatting>
  <conditionalFormatting sqref="E36">
    <cfRule type="cellIs" dxfId="86" priority="94" operator="greaterThanOrEqual">
      <formula>0</formula>
    </cfRule>
  </conditionalFormatting>
  <conditionalFormatting sqref="E37">
    <cfRule type="cellIs" dxfId="85" priority="91" operator="lessThanOrEqual">
      <formula>-6</formula>
    </cfRule>
    <cfRule type="cellIs" dxfId="84" priority="92" operator="between">
      <formula>-5</formula>
      <formula>-3</formula>
    </cfRule>
    <cfRule type="cellIs" dxfId="83" priority="93" operator="between">
      <formula>-2</formula>
      <formula>-1</formula>
    </cfRule>
  </conditionalFormatting>
  <conditionalFormatting sqref="E37">
    <cfRule type="cellIs" dxfId="82" priority="90" operator="greaterThanOrEqual">
      <formula>0</formula>
    </cfRule>
  </conditionalFormatting>
  <conditionalFormatting sqref="E40">
    <cfRule type="cellIs" dxfId="81" priority="87" operator="lessThanOrEqual">
      <formula>-6</formula>
    </cfRule>
    <cfRule type="cellIs" dxfId="80" priority="88" operator="between">
      <formula>-5</formula>
      <formula>-3</formula>
    </cfRule>
    <cfRule type="cellIs" dxfId="79" priority="89" operator="between">
      <formula>-2</formula>
      <formula>-1</formula>
    </cfRule>
  </conditionalFormatting>
  <conditionalFormatting sqref="E40">
    <cfRule type="cellIs" dxfId="78" priority="86" operator="greaterThanOrEqual">
      <formula>0</formula>
    </cfRule>
  </conditionalFormatting>
  <conditionalFormatting sqref="E42">
    <cfRule type="cellIs" dxfId="77" priority="83" operator="lessThanOrEqual">
      <formula>-6</formula>
    </cfRule>
    <cfRule type="cellIs" dxfId="76" priority="84" operator="between">
      <formula>-5</formula>
      <formula>-3</formula>
    </cfRule>
    <cfRule type="cellIs" dxfId="75" priority="85" operator="between">
      <formula>-2</formula>
      <formula>-1</formula>
    </cfRule>
  </conditionalFormatting>
  <conditionalFormatting sqref="E42">
    <cfRule type="cellIs" dxfId="74" priority="82" operator="greaterThanOrEqual">
      <formula>0</formula>
    </cfRule>
  </conditionalFormatting>
  <conditionalFormatting sqref="E44">
    <cfRule type="cellIs" dxfId="73" priority="79" operator="lessThanOrEqual">
      <formula>-6</formula>
    </cfRule>
    <cfRule type="cellIs" dxfId="72" priority="80" operator="between">
      <formula>-5</formula>
      <formula>-3</formula>
    </cfRule>
    <cfRule type="cellIs" dxfId="71" priority="81" operator="between">
      <formula>-2</formula>
      <formula>-1</formula>
    </cfRule>
  </conditionalFormatting>
  <conditionalFormatting sqref="E44">
    <cfRule type="cellIs" dxfId="70" priority="78" operator="greaterThanOrEqual">
      <formula>0</formula>
    </cfRule>
  </conditionalFormatting>
  <conditionalFormatting sqref="E45">
    <cfRule type="cellIs" dxfId="69" priority="75" operator="lessThanOrEqual">
      <formula>-6</formula>
    </cfRule>
    <cfRule type="cellIs" dxfId="68" priority="76" operator="between">
      <formula>-5</formula>
      <formula>-3</formula>
    </cfRule>
    <cfRule type="cellIs" dxfId="67" priority="77" operator="between">
      <formula>-2</formula>
      <formula>-1</formula>
    </cfRule>
  </conditionalFormatting>
  <conditionalFormatting sqref="E45">
    <cfRule type="cellIs" dxfId="66" priority="74" operator="greaterThanOrEqual">
      <formula>0</formula>
    </cfRule>
  </conditionalFormatting>
  <conditionalFormatting sqref="E81:E85">
    <cfRule type="cellIs" dxfId="65" priority="73" operator="between">
      <formula>-1</formula>
      <formula>0</formula>
    </cfRule>
  </conditionalFormatting>
  <conditionalFormatting sqref="E81:E85">
    <cfRule type="cellIs" dxfId="64" priority="71" operator="lessThanOrEqual">
      <formula>-2</formula>
    </cfRule>
  </conditionalFormatting>
  <conditionalFormatting sqref="E81:E85">
    <cfRule type="cellIs" dxfId="63" priority="72" operator="between">
      <formula>-1.99999</formula>
      <formula>-1.5</formula>
    </cfRule>
  </conditionalFormatting>
  <conditionalFormatting sqref="E81:E85">
    <cfRule type="cellIs" dxfId="62" priority="69" operator="greaterThan">
      <formula>0</formula>
    </cfRule>
    <cfRule type="cellIs" dxfId="61" priority="70" operator="between">
      <formula>-1.49999</formula>
      <formula>-1.00001</formula>
    </cfRule>
  </conditionalFormatting>
  <conditionalFormatting sqref="E67">
    <cfRule type="cellIs" dxfId="60" priority="51" operator="lessThanOrEqual">
      <formula>-6</formula>
    </cfRule>
    <cfRule type="cellIs" dxfId="59" priority="52" operator="between">
      <formula>-5</formula>
      <formula>-3</formula>
    </cfRule>
    <cfRule type="cellIs" dxfId="58" priority="53" operator="between">
      <formula>-2</formula>
      <formula>-1</formula>
    </cfRule>
  </conditionalFormatting>
  <conditionalFormatting sqref="E67">
    <cfRule type="cellIs" dxfId="57" priority="50" operator="greaterThanOrEqual">
      <formula>0</formula>
    </cfRule>
  </conditionalFormatting>
  <conditionalFormatting sqref="E71">
    <cfRule type="cellIs" dxfId="56" priority="47" operator="lessThanOrEqual">
      <formula>-6</formula>
    </cfRule>
    <cfRule type="cellIs" dxfId="55" priority="48" operator="between">
      <formula>-5</formula>
      <formula>-3</formula>
    </cfRule>
    <cfRule type="cellIs" dxfId="54" priority="49" operator="between">
      <formula>-2</formula>
      <formula>-1</formula>
    </cfRule>
  </conditionalFormatting>
  <conditionalFormatting sqref="E71">
    <cfRule type="cellIs" dxfId="53" priority="46" operator="greaterThanOrEqual">
      <formula>0</formula>
    </cfRule>
  </conditionalFormatting>
  <conditionalFormatting sqref="E75">
    <cfRule type="cellIs" dxfId="52" priority="43" operator="lessThanOrEqual">
      <formula>-6</formula>
    </cfRule>
    <cfRule type="cellIs" dxfId="51" priority="44" operator="between">
      <formula>-5</formula>
      <formula>-3</formula>
    </cfRule>
    <cfRule type="cellIs" dxfId="50" priority="45" operator="between">
      <formula>-2</formula>
      <formula>-1</formula>
    </cfRule>
  </conditionalFormatting>
  <conditionalFormatting sqref="E75">
    <cfRule type="cellIs" dxfId="49" priority="42" operator="greaterThanOrEqual">
      <formula>0</formula>
    </cfRule>
  </conditionalFormatting>
  <conditionalFormatting sqref="E78">
    <cfRule type="cellIs" dxfId="48" priority="39" operator="lessThanOrEqual">
      <formula>-6</formula>
    </cfRule>
    <cfRule type="cellIs" dxfId="47" priority="40" operator="between">
      <formula>-5</formula>
      <formula>-3</formula>
    </cfRule>
    <cfRule type="cellIs" dxfId="46" priority="41" operator="between">
      <formula>-2</formula>
      <formula>-1</formula>
    </cfRule>
  </conditionalFormatting>
  <conditionalFormatting sqref="E78">
    <cfRule type="cellIs" dxfId="45" priority="38" operator="greaterThanOrEqual">
      <formula>0</formula>
    </cfRule>
  </conditionalFormatting>
  <conditionalFormatting sqref="E68">
    <cfRule type="cellIs" dxfId="44" priority="35" operator="lessThanOrEqual">
      <formula>-6</formula>
    </cfRule>
    <cfRule type="cellIs" dxfId="43" priority="36" operator="between">
      <formula>-5</formula>
      <formula>-3</formula>
    </cfRule>
    <cfRule type="cellIs" dxfId="42" priority="37" operator="between">
      <formula>-2</formula>
      <formula>-1</formula>
    </cfRule>
  </conditionalFormatting>
  <conditionalFormatting sqref="E68">
    <cfRule type="cellIs" dxfId="41" priority="34" operator="greaterThanOrEqual">
      <formula>0</formula>
    </cfRule>
  </conditionalFormatting>
  <conditionalFormatting sqref="E72">
    <cfRule type="cellIs" dxfId="40" priority="31" operator="lessThanOrEqual">
      <formula>-6</formula>
    </cfRule>
    <cfRule type="cellIs" dxfId="39" priority="32" operator="between">
      <formula>-5</formula>
      <formula>-3</formula>
    </cfRule>
    <cfRule type="cellIs" dxfId="38" priority="33" operator="between">
      <formula>-2</formula>
      <formula>-1</formula>
    </cfRule>
  </conditionalFormatting>
  <conditionalFormatting sqref="E72">
    <cfRule type="cellIs" dxfId="37" priority="30" operator="greaterThanOrEqual">
      <formula>0</formula>
    </cfRule>
  </conditionalFormatting>
  <conditionalFormatting sqref="E76">
    <cfRule type="cellIs" dxfId="36" priority="27" operator="lessThanOrEqual">
      <formula>-6</formula>
    </cfRule>
    <cfRule type="cellIs" dxfId="35" priority="28" operator="between">
      <formula>-5</formula>
      <formula>-3</formula>
    </cfRule>
    <cfRule type="cellIs" dxfId="34" priority="29" operator="between">
      <formula>-2</formula>
      <formula>-1</formula>
    </cfRule>
  </conditionalFormatting>
  <conditionalFormatting sqref="E76">
    <cfRule type="cellIs" dxfId="33" priority="26" operator="greaterThanOrEqual">
      <formula>0</formula>
    </cfRule>
  </conditionalFormatting>
  <conditionalFormatting sqref="E69:E70">
    <cfRule type="cellIs" dxfId="32" priority="23" operator="lessThanOrEqual">
      <formula>-6</formula>
    </cfRule>
    <cfRule type="cellIs" dxfId="31" priority="24" operator="between">
      <formula>-5</formula>
      <formula>-3</formula>
    </cfRule>
    <cfRule type="cellIs" dxfId="30" priority="25" operator="between">
      <formula>-2</formula>
      <formula>-1</formula>
    </cfRule>
  </conditionalFormatting>
  <conditionalFormatting sqref="E69:E70">
    <cfRule type="cellIs" dxfId="29" priority="22" operator="greaterThanOrEqual">
      <formula>0</formula>
    </cfRule>
  </conditionalFormatting>
  <conditionalFormatting sqref="E74">
    <cfRule type="cellIs" dxfId="28" priority="19" operator="lessThanOrEqual">
      <formula>-6</formula>
    </cfRule>
    <cfRule type="cellIs" dxfId="27" priority="20" operator="between">
      <formula>-5</formula>
      <formula>-3</formula>
    </cfRule>
    <cfRule type="cellIs" dxfId="26" priority="21" operator="between">
      <formula>-2</formula>
      <formula>-1</formula>
    </cfRule>
  </conditionalFormatting>
  <conditionalFormatting sqref="E74">
    <cfRule type="cellIs" dxfId="25" priority="18" operator="greaterThanOrEqual">
      <formula>0</formula>
    </cfRule>
  </conditionalFormatting>
  <conditionalFormatting sqref="E73">
    <cfRule type="cellIs" dxfId="24" priority="15" operator="lessThanOrEqual">
      <formula>-6</formula>
    </cfRule>
    <cfRule type="cellIs" dxfId="23" priority="16" operator="between">
      <formula>-5</formula>
      <formula>-3</formula>
    </cfRule>
    <cfRule type="cellIs" dxfId="22" priority="17" operator="between">
      <formula>-2</formula>
      <formula>-1</formula>
    </cfRule>
  </conditionalFormatting>
  <conditionalFormatting sqref="E73">
    <cfRule type="cellIs" dxfId="21" priority="14" operator="greaterThanOrEqual">
      <formula>0</formula>
    </cfRule>
  </conditionalFormatting>
  <conditionalFormatting sqref="E77">
    <cfRule type="cellIs" dxfId="20" priority="11" operator="lessThanOrEqual">
      <formula>-6</formula>
    </cfRule>
    <cfRule type="cellIs" dxfId="19" priority="12" operator="between">
      <formula>-5</formula>
      <formula>-3</formula>
    </cfRule>
    <cfRule type="cellIs" dxfId="18" priority="13" operator="between">
      <formula>-2</formula>
      <formula>-1</formula>
    </cfRule>
  </conditionalFormatting>
  <conditionalFormatting sqref="E77">
    <cfRule type="cellIs" dxfId="17" priority="10" operator="greaterThanOrEqual">
      <formula>0</formula>
    </cfRule>
  </conditionalFormatting>
  <conditionalFormatting sqref="E28">
    <cfRule type="cellIs" dxfId="16" priority="8" operator="equal">
      <formula>"Fail"</formula>
    </cfRule>
    <cfRule type="cellIs" dxfId="15" priority="9" operator="equal">
      <formula>"PASS"</formula>
    </cfRule>
  </conditionalFormatting>
  <conditionalFormatting sqref="E88:E89">
    <cfRule type="cellIs" dxfId="14" priority="7" operator="between">
      <formula>-1</formula>
      <formula>0</formula>
    </cfRule>
  </conditionalFormatting>
  <conditionalFormatting sqref="E88:E89">
    <cfRule type="cellIs" dxfId="13" priority="5" operator="lessThanOrEqual">
      <formula>-2</formula>
    </cfRule>
  </conditionalFormatting>
  <conditionalFormatting sqref="E88:E89">
    <cfRule type="cellIs" dxfId="12" priority="6" operator="between">
      <formula>-1.99999</formula>
      <formula>-1.5</formula>
    </cfRule>
  </conditionalFormatting>
  <conditionalFormatting sqref="E88:E89">
    <cfRule type="cellIs" dxfId="11" priority="3" operator="greaterThan">
      <formula>0</formula>
    </cfRule>
    <cfRule type="cellIs" dxfId="10" priority="4" operator="between">
      <formula>-1.49999</formula>
      <formula>-1.00001</formula>
    </cfRule>
  </conditionalFormatting>
  <conditionalFormatting sqref="D52">
    <cfRule type="cellIs" dxfId="9" priority="2" operator="lessThan">
      <formula>25</formula>
    </cfRule>
  </conditionalFormatting>
  <conditionalFormatting sqref="D53">
    <cfRule type="cellIs" dxfId="8" priority="1" operator="lessThan">
      <formula>18</formula>
    </cfRule>
  </conditionalFormatting>
  <hyperlinks>
    <hyperlink ref="G56" r:id="rId1" xr:uid="{55B4C75D-72C2-498B-8320-2350BCB8D4AE}"/>
  </hyperlinks>
  <pageMargins left="0.7" right="0.7" top="0.75" bottom="0.75" header="0.3" footer="0.3"/>
  <pageSetup paperSize="9" orientation="portrait"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303E4-5344-49EC-BCB5-B9CED6A5E5DB}">
  <sheetPr>
    <tabColor rgb="FFFF5050"/>
  </sheetPr>
  <dimension ref="A1:AB82"/>
  <sheetViews>
    <sheetView workbookViewId="0">
      <selection activeCell="F12" sqref="F12"/>
    </sheetView>
  </sheetViews>
  <sheetFormatPr baseColWidth="10" defaultColWidth="9.1640625" defaultRowHeight="14" x14ac:dyDescent="0.15"/>
  <cols>
    <col min="1" max="16384" width="9.1640625" style="14"/>
  </cols>
  <sheetData>
    <row r="1" spans="1:28" ht="15" thickBot="1" x14ac:dyDescent="0.2">
      <c r="A1" s="76"/>
      <c r="B1" s="76"/>
      <c r="C1" s="76"/>
      <c r="D1" s="76"/>
      <c r="E1" s="76"/>
      <c r="F1" s="76"/>
      <c r="G1" s="76"/>
      <c r="H1" s="76"/>
      <c r="I1" s="76"/>
      <c r="J1" s="76"/>
      <c r="K1" s="76"/>
      <c r="L1" s="76"/>
      <c r="M1" s="76"/>
      <c r="N1" s="76"/>
      <c r="O1" s="76"/>
      <c r="P1" s="76"/>
      <c r="Q1" s="76"/>
      <c r="R1" s="76"/>
      <c r="S1" s="76"/>
      <c r="T1" s="76"/>
      <c r="U1" s="76"/>
      <c r="V1" s="76"/>
      <c r="W1" s="76"/>
      <c r="X1" s="76"/>
      <c r="Y1" s="76"/>
      <c r="Z1" s="76"/>
      <c r="AA1" s="76"/>
      <c r="AB1" s="76"/>
    </row>
    <row r="2" spans="1:28" x14ac:dyDescent="0.15">
      <c r="A2" s="76"/>
      <c r="B2" s="198"/>
      <c r="C2" s="199"/>
      <c r="D2" s="199"/>
      <c r="E2" s="199"/>
      <c r="F2" s="199"/>
      <c r="G2" s="199"/>
      <c r="H2" s="199"/>
      <c r="I2" s="199"/>
      <c r="J2" s="200"/>
      <c r="K2" s="76"/>
      <c r="L2" s="198"/>
      <c r="M2" s="199"/>
      <c r="N2" s="199"/>
      <c r="O2" s="199"/>
      <c r="P2" s="199"/>
      <c r="Q2" s="199"/>
      <c r="R2" s="199"/>
      <c r="S2" s="199"/>
      <c r="T2" s="200"/>
      <c r="U2" s="76"/>
      <c r="V2" s="76"/>
      <c r="W2" s="76"/>
      <c r="X2" s="76"/>
      <c r="Y2" s="76"/>
      <c r="Z2" s="76"/>
      <c r="AA2" s="76"/>
      <c r="AB2" s="76"/>
    </row>
    <row r="3" spans="1:28" x14ac:dyDescent="0.15">
      <c r="A3" s="76"/>
      <c r="B3" s="201"/>
      <c r="C3" s="716" t="s">
        <v>718</v>
      </c>
      <c r="D3" s="65"/>
      <c r="E3" s="65"/>
      <c r="F3" s="65"/>
      <c r="G3" s="64"/>
      <c r="H3" s="64"/>
      <c r="I3" s="64"/>
      <c r="J3" s="202"/>
      <c r="K3" s="76"/>
      <c r="L3" s="201"/>
      <c r="M3" s="716" t="s">
        <v>719</v>
      </c>
      <c r="N3" s="733"/>
      <c r="O3" s="733"/>
      <c r="P3" s="733"/>
      <c r="Q3" s="64"/>
      <c r="R3" s="64"/>
      <c r="S3" s="64"/>
      <c r="T3" s="202"/>
      <c r="U3" s="76"/>
      <c r="V3" s="76"/>
      <c r="W3" s="76"/>
      <c r="X3" s="76"/>
      <c r="Y3" s="76"/>
      <c r="Z3" s="76"/>
      <c r="AA3" s="76"/>
      <c r="AB3" s="76"/>
    </row>
    <row r="4" spans="1:28" x14ac:dyDescent="0.15">
      <c r="A4" s="76"/>
      <c r="B4" s="201"/>
      <c r="C4" s="65"/>
      <c r="D4" s="65"/>
      <c r="E4" s="65"/>
      <c r="F4" s="65"/>
      <c r="G4" s="64"/>
      <c r="H4" s="64"/>
      <c r="I4" s="64"/>
      <c r="J4" s="202"/>
      <c r="K4" s="76"/>
      <c r="L4" s="201"/>
      <c r="M4" s="65"/>
      <c r="N4" s="65"/>
      <c r="O4" s="65"/>
      <c r="P4" s="65"/>
      <c r="Q4" s="64"/>
      <c r="R4" s="64"/>
      <c r="S4" s="64"/>
      <c r="T4" s="202"/>
      <c r="U4" s="76"/>
      <c r="V4" s="76"/>
      <c r="W4" s="76"/>
      <c r="X4" s="76"/>
      <c r="Y4" s="76"/>
      <c r="Z4" s="76"/>
      <c r="AA4" s="76"/>
      <c r="AB4" s="76"/>
    </row>
    <row r="5" spans="1:28" x14ac:dyDescent="0.15">
      <c r="A5" s="76"/>
      <c r="B5" s="201"/>
      <c r="C5" s="66" t="s">
        <v>193</v>
      </c>
      <c r="D5" s="65"/>
      <c r="E5" s="65"/>
      <c r="F5" s="66" t="s">
        <v>194</v>
      </c>
      <c r="G5" s="64"/>
      <c r="H5" s="64"/>
      <c r="I5" s="64"/>
      <c r="J5" s="202"/>
      <c r="K5" s="76"/>
      <c r="L5" s="201"/>
      <c r="M5" s="66"/>
      <c r="N5" s="65"/>
      <c r="O5" s="65"/>
      <c r="P5" s="66"/>
      <c r="Q5" s="64"/>
      <c r="R5" s="64"/>
      <c r="S5" s="64"/>
      <c r="T5" s="202"/>
      <c r="U5" s="76"/>
      <c r="V5" s="76"/>
      <c r="W5" s="76"/>
      <c r="X5" s="76"/>
      <c r="Y5" s="76"/>
      <c r="Z5" s="76"/>
      <c r="AA5" s="76"/>
      <c r="AB5" s="76"/>
    </row>
    <row r="6" spans="1:28" x14ac:dyDescent="0.15">
      <c r="A6" s="76"/>
      <c r="B6" s="201"/>
      <c r="C6" s="203" t="s">
        <v>196</v>
      </c>
      <c r="D6" s="65"/>
      <c r="E6" s="65"/>
      <c r="F6" s="203" t="s">
        <v>195</v>
      </c>
      <c r="G6" s="64"/>
      <c r="H6" s="64"/>
      <c r="I6" s="64"/>
      <c r="J6" s="202"/>
      <c r="K6" s="76"/>
      <c r="L6" s="201"/>
      <c r="M6" s="65"/>
      <c r="N6" s="65"/>
      <c r="O6" s="64"/>
      <c r="P6" s="64"/>
      <c r="Q6" s="64"/>
      <c r="R6" s="64"/>
      <c r="S6" s="64"/>
      <c r="T6" s="202"/>
      <c r="U6" s="76"/>
      <c r="V6" s="76"/>
      <c r="W6" s="76"/>
      <c r="X6" s="76"/>
      <c r="Y6" s="76"/>
      <c r="Z6" s="76"/>
      <c r="AA6" s="76"/>
      <c r="AB6" s="76"/>
    </row>
    <row r="7" spans="1:28" x14ac:dyDescent="0.15">
      <c r="A7" s="76"/>
      <c r="B7" s="201"/>
      <c r="C7" s="65"/>
      <c r="D7" s="65"/>
      <c r="E7" s="65"/>
      <c r="F7" s="65"/>
      <c r="G7" s="64"/>
      <c r="H7" s="64"/>
      <c r="I7" s="64"/>
      <c r="J7" s="202"/>
      <c r="K7" s="76"/>
      <c r="L7" s="201"/>
      <c r="M7" s="65"/>
      <c r="N7" s="65"/>
      <c r="O7" s="65"/>
      <c r="P7" s="65"/>
      <c r="Q7" s="64"/>
      <c r="R7" s="64"/>
      <c r="S7" s="64"/>
      <c r="T7" s="202"/>
      <c r="U7" s="76"/>
      <c r="V7" s="76"/>
      <c r="W7" s="76"/>
      <c r="X7" s="76"/>
      <c r="Y7" s="76"/>
      <c r="Z7" s="76"/>
      <c r="AA7" s="76"/>
      <c r="AB7" s="76"/>
    </row>
    <row r="8" spans="1:28" x14ac:dyDescent="0.15">
      <c r="A8" s="76"/>
      <c r="B8" s="201"/>
      <c r="C8" s="64"/>
      <c r="D8" s="65"/>
      <c r="E8" s="65"/>
      <c r="F8" s="64"/>
      <c r="G8" s="64"/>
      <c r="H8" s="64"/>
      <c r="I8" s="64"/>
      <c r="J8" s="202"/>
      <c r="K8" s="76"/>
      <c r="L8" s="201"/>
      <c r="M8" s="64"/>
      <c r="N8" s="65"/>
      <c r="O8" s="65"/>
      <c r="P8" s="64"/>
      <c r="Q8" s="64"/>
      <c r="R8" s="64"/>
      <c r="S8" s="64"/>
      <c r="T8" s="202"/>
      <c r="U8" s="76"/>
      <c r="V8" s="76"/>
      <c r="W8" s="76"/>
      <c r="X8" s="76"/>
      <c r="Y8" s="76"/>
      <c r="Z8" s="76"/>
      <c r="AA8" s="76"/>
      <c r="AB8" s="76"/>
    </row>
    <row r="9" spans="1:28" x14ac:dyDescent="0.15">
      <c r="A9" s="76"/>
      <c r="B9" s="204" t="str">
        <f>C6</f>
        <v>Z</v>
      </c>
      <c r="C9" s="205" t="s">
        <v>124</v>
      </c>
      <c r="D9" s="100">
        <v>-1.3</v>
      </c>
      <c r="E9" s="206" t="s">
        <v>310</v>
      </c>
      <c r="F9" s="207" t="str">
        <f>F6</f>
        <v>Scale</v>
      </c>
      <c r="G9" s="205" t="s">
        <v>124</v>
      </c>
      <c r="H9" s="208">
        <f>(((VLOOKUP(F6,'Do Not Edit'!A11:C15,3,FALSE))/(VLOOKUP(C6,'Do Not Edit'!A11:C15,3,FALSE)))*(D9-((VLOOKUP(C6,'Do Not Edit'!A11:C15,2,FALSE)))))+(VLOOKUP(F6,'Do Not Edit'!A11:C15,2,FALSE))</f>
        <v>6.1</v>
      </c>
      <c r="I9" s="64"/>
      <c r="J9" s="202"/>
      <c r="K9" s="76"/>
      <c r="L9" s="204"/>
      <c r="M9" s="207" t="s">
        <v>41</v>
      </c>
      <c r="N9" s="734">
        <v>9.7000000000000003E-2</v>
      </c>
      <c r="O9" s="206" t="s">
        <v>310</v>
      </c>
      <c r="P9" s="207"/>
      <c r="Q9" s="207" t="s">
        <v>562</v>
      </c>
      <c r="R9" s="208">
        <f>_xlfn.NORM.S.INV(N9)</f>
        <v>-1.2988366326425058</v>
      </c>
      <c r="S9" s="64"/>
      <c r="T9" s="202"/>
      <c r="U9" s="76"/>
      <c r="V9" s="76"/>
      <c r="W9" s="76"/>
      <c r="X9" s="76"/>
      <c r="Y9" s="76"/>
      <c r="Z9" s="76"/>
      <c r="AA9" s="76"/>
      <c r="AB9" s="76"/>
    </row>
    <row r="10" spans="1:28" x14ac:dyDescent="0.15">
      <c r="A10" s="76"/>
      <c r="B10" s="201"/>
      <c r="C10" s="64"/>
      <c r="D10" s="64"/>
      <c r="E10" s="64"/>
      <c r="F10" s="64"/>
      <c r="G10" s="64"/>
      <c r="H10" s="64"/>
      <c r="I10" s="64"/>
      <c r="J10" s="202"/>
      <c r="K10" s="76"/>
      <c r="L10" s="201"/>
      <c r="M10" s="64"/>
      <c r="N10" s="64"/>
      <c r="O10" s="64"/>
      <c r="P10" s="64"/>
      <c r="Q10" s="64"/>
      <c r="R10" s="64"/>
      <c r="S10" s="64"/>
      <c r="T10" s="202"/>
      <c r="U10" s="76"/>
      <c r="V10" s="76"/>
      <c r="W10" s="76"/>
      <c r="X10" s="76"/>
      <c r="Y10" s="76"/>
      <c r="Z10" s="76"/>
      <c r="AA10" s="76"/>
      <c r="AB10" s="76"/>
    </row>
    <row r="11" spans="1:28" x14ac:dyDescent="0.15">
      <c r="A11" s="76"/>
      <c r="B11" s="201"/>
      <c r="C11" s="64"/>
      <c r="D11" s="64"/>
      <c r="E11" s="64"/>
      <c r="F11" s="209" t="s">
        <v>41</v>
      </c>
      <c r="G11" s="64"/>
      <c r="H11" s="64"/>
      <c r="I11" s="64"/>
      <c r="J11" s="202"/>
      <c r="K11" s="76"/>
      <c r="L11" s="201"/>
      <c r="M11" s="64"/>
      <c r="N11" s="64"/>
      <c r="O11" s="64"/>
      <c r="P11" s="209"/>
      <c r="Q11" s="207" t="s">
        <v>40</v>
      </c>
      <c r="R11" s="208">
        <f>ROUND(S11,0)</f>
        <v>6</v>
      </c>
      <c r="S11" s="735">
        <f>(((3/1)*(R9-0))+10)</f>
        <v>6.1034901020724828</v>
      </c>
      <c r="T11" s="202"/>
      <c r="U11" s="76"/>
      <c r="V11" s="76"/>
      <c r="W11" s="76"/>
      <c r="X11" s="76"/>
      <c r="Y11" s="76"/>
      <c r="Z11" s="76"/>
      <c r="AA11" s="76"/>
      <c r="AB11" s="76"/>
    </row>
    <row r="12" spans="1:28" x14ac:dyDescent="0.15">
      <c r="A12" s="76"/>
      <c r="B12" s="201"/>
      <c r="C12" s="64"/>
      <c r="D12" s="64"/>
      <c r="E12" s="64"/>
      <c r="F12" s="210">
        <f>_xlfn.NORM.S.DIST((((1/(VLOOKUP(C6,'Do Not Edit'!A11:C15,3,FALSE)))*(D9-((VLOOKUP(C6,'Do Not Edit'!A11:C15,2,FALSE)))))+0),TRUE)</f>
        <v>9.6800484585610316E-2</v>
      </c>
      <c r="G12" s="64"/>
      <c r="H12" s="64"/>
      <c r="I12" s="64"/>
      <c r="J12" s="202"/>
      <c r="K12" s="76"/>
      <c r="L12" s="201"/>
      <c r="M12" s="64"/>
      <c r="N12" s="64"/>
      <c r="O12" s="64"/>
      <c r="P12" s="732"/>
      <c r="Q12" s="64"/>
      <c r="R12" s="64"/>
      <c r="S12" s="735"/>
      <c r="T12" s="202"/>
      <c r="U12" s="76"/>
      <c r="V12" s="76"/>
      <c r="W12" s="76"/>
      <c r="X12" s="76"/>
      <c r="Y12" s="76"/>
      <c r="Z12" s="76"/>
      <c r="AA12" s="76"/>
      <c r="AB12" s="76"/>
    </row>
    <row r="13" spans="1:28" x14ac:dyDescent="0.15">
      <c r="A13" s="76"/>
      <c r="B13" s="201"/>
      <c r="C13" s="64"/>
      <c r="D13" s="64"/>
      <c r="E13" s="64"/>
      <c r="F13" s="64"/>
      <c r="G13" s="64"/>
      <c r="H13" s="64"/>
      <c r="I13" s="64"/>
      <c r="J13" s="202"/>
      <c r="K13" s="76"/>
      <c r="L13" s="201"/>
      <c r="M13" s="64"/>
      <c r="N13" s="64"/>
      <c r="O13" s="64"/>
      <c r="P13" s="64"/>
      <c r="Q13" s="207" t="s">
        <v>178</v>
      </c>
      <c r="R13" s="208">
        <f>ROUND(S13,0)</f>
        <v>81</v>
      </c>
      <c r="S13" s="735">
        <f>((15/1)*(R9-0))+100</f>
        <v>80.517450510362409</v>
      </c>
      <c r="T13" s="202"/>
      <c r="U13" s="76"/>
      <c r="V13" s="76"/>
      <c r="W13" s="76"/>
      <c r="X13" s="76"/>
      <c r="Y13" s="76"/>
      <c r="Z13" s="76"/>
      <c r="AA13" s="76"/>
      <c r="AB13" s="76"/>
    </row>
    <row r="14" spans="1:28" x14ac:dyDescent="0.15">
      <c r="A14" s="76"/>
      <c r="B14" s="201"/>
      <c r="C14" s="64"/>
      <c r="D14" s="64"/>
      <c r="E14" s="64"/>
      <c r="F14" s="64"/>
      <c r="G14" s="64"/>
      <c r="H14" s="64"/>
      <c r="I14" s="64"/>
      <c r="J14" s="202"/>
      <c r="K14" s="76"/>
      <c r="L14" s="201"/>
      <c r="M14" s="64"/>
      <c r="N14" s="64"/>
      <c r="O14" s="64"/>
      <c r="P14" s="64"/>
      <c r="Q14" s="64"/>
      <c r="R14" s="64"/>
      <c r="S14" s="64"/>
      <c r="T14" s="202"/>
      <c r="U14" s="76"/>
      <c r="V14" s="76"/>
      <c r="W14" s="76"/>
      <c r="X14" s="76"/>
      <c r="Y14" s="76"/>
      <c r="Z14" s="76"/>
      <c r="AA14" s="76"/>
      <c r="AB14" s="76"/>
    </row>
    <row r="15" spans="1:28" x14ac:dyDescent="0.15">
      <c r="A15" s="76"/>
      <c r="B15" s="201"/>
      <c r="C15" s="64"/>
      <c r="D15" s="64"/>
      <c r="E15" s="64"/>
      <c r="F15" s="64"/>
      <c r="G15" s="64"/>
      <c r="H15" s="64"/>
      <c r="I15" s="64"/>
      <c r="J15" s="202"/>
      <c r="K15" s="76"/>
      <c r="L15" s="201"/>
      <c r="M15" s="64"/>
      <c r="N15" s="64"/>
      <c r="O15" s="64"/>
      <c r="P15" s="64"/>
      <c r="Q15" s="64"/>
      <c r="R15" s="64"/>
      <c r="S15" s="64"/>
      <c r="T15" s="202"/>
      <c r="U15" s="76"/>
      <c r="V15" s="76"/>
      <c r="W15" s="76"/>
      <c r="X15" s="76"/>
      <c r="Y15" s="76"/>
      <c r="Z15" s="76"/>
      <c r="AA15" s="76"/>
      <c r="AB15" s="76"/>
    </row>
    <row r="16" spans="1:28" ht="15" thickBot="1" x14ac:dyDescent="0.2">
      <c r="A16" s="76"/>
      <c r="B16" s="211"/>
      <c r="C16" s="212"/>
      <c r="D16" s="212"/>
      <c r="E16" s="212"/>
      <c r="F16" s="212"/>
      <c r="G16" s="212"/>
      <c r="H16" s="212"/>
      <c r="I16" s="212"/>
      <c r="J16" s="213"/>
      <c r="K16" s="76"/>
      <c r="L16" s="211"/>
      <c r="M16" s="212"/>
      <c r="N16" s="212"/>
      <c r="O16" s="212"/>
      <c r="P16" s="212"/>
      <c r="Q16" s="212"/>
      <c r="R16" s="212"/>
      <c r="S16" s="212"/>
      <c r="T16" s="213"/>
      <c r="U16" s="76"/>
      <c r="V16" s="76"/>
      <c r="W16" s="76"/>
      <c r="X16" s="76"/>
      <c r="Y16" s="76"/>
      <c r="Z16" s="76"/>
      <c r="AA16" s="76"/>
      <c r="AB16" s="76"/>
    </row>
    <row r="17" spans="1:28" x14ac:dyDescent="0.15">
      <c r="A17" s="76"/>
      <c r="B17" s="76"/>
      <c r="C17" s="76"/>
      <c r="D17" s="76"/>
      <c r="E17" s="76"/>
      <c r="F17" s="76"/>
      <c r="G17" s="76"/>
      <c r="H17" s="76"/>
      <c r="I17" s="76"/>
      <c r="J17" s="76"/>
      <c r="K17" s="76"/>
      <c r="L17" s="76"/>
      <c r="M17" s="76"/>
      <c r="N17" s="76"/>
      <c r="O17" s="76"/>
      <c r="P17" s="76"/>
      <c r="Q17" s="76"/>
      <c r="R17" s="76"/>
      <c r="S17" s="76"/>
      <c r="T17" s="76"/>
      <c r="U17" s="76"/>
      <c r="V17" s="76"/>
      <c r="W17" s="76"/>
      <c r="X17" s="76"/>
      <c r="Y17" s="76"/>
      <c r="Z17" s="76"/>
      <c r="AA17" s="76"/>
      <c r="AB17" s="76"/>
    </row>
    <row r="18" spans="1:28" x14ac:dyDescent="0.15">
      <c r="A18" s="76"/>
      <c r="B18" s="75" t="s">
        <v>323</v>
      </c>
      <c r="C18" s="76"/>
      <c r="D18" s="76"/>
      <c r="E18" s="76"/>
      <c r="F18" s="76"/>
      <c r="G18" s="76"/>
      <c r="H18" s="76"/>
      <c r="I18" s="76"/>
      <c r="J18" s="76"/>
      <c r="K18" s="76"/>
      <c r="L18" s="76"/>
      <c r="M18" s="76"/>
      <c r="N18" s="76"/>
      <c r="O18" s="76"/>
      <c r="P18" s="76"/>
      <c r="Q18" s="76"/>
      <c r="R18" s="76"/>
      <c r="S18" s="76"/>
      <c r="T18" s="76"/>
      <c r="U18" s="76"/>
      <c r="V18" s="76"/>
      <c r="W18" s="76"/>
      <c r="X18" s="76"/>
      <c r="Y18" s="76"/>
      <c r="Z18" s="76"/>
      <c r="AA18" s="76"/>
      <c r="AB18" s="76"/>
    </row>
    <row r="19" spans="1:28" x14ac:dyDescent="0.15">
      <c r="A19" s="76"/>
      <c r="B19" s="76"/>
      <c r="C19" s="76"/>
      <c r="D19" s="76"/>
      <c r="E19" s="76"/>
      <c r="F19" s="76"/>
      <c r="G19" s="76"/>
      <c r="H19" s="76"/>
      <c r="I19" s="76"/>
      <c r="J19" s="76"/>
      <c r="K19" s="76"/>
      <c r="L19" s="76"/>
      <c r="M19" s="76"/>
      <c r="N19" s="76"/>
      <c r="O19" s="76"/>
      <c r="P19" s="76"/>
      <c r="Q19" s="76"/>
      <c r="R19" s="76"/>
      <c r="S19" s="76"/>
      <c r="T19" s="76"/>
      <c r="U19" s="76"/>
      <c r="V19" s="76"/>
      <c r="W19" s="76"/>
      <c r="X19" s="76"/>
      <c r="Y19" s="76"/>
      <c r="Z19" s="76"/>
      <c r="AA19" s="76"/>
      <c r="AB19" s="76"/>
    </row>
    <row r="20" spans="1:28" x14ac:dyDescent="0.15">
      <c r="A20" s="76"/>
      <c r="B20" s="76"/>
      <c r="C20" s="76"/>
      <c r="D20" s="76"/>
      <c r="E20" s="76"/>
      <c r="F20" s="76"/>
      <c r="G20" s="76"/>
      <c r="H20" s="76"/>
      <c r="I20" s="76"/>
      <c r="J20" s="76"/>
      <c r="K20" s="76"/>
      <c r="L20" s="76"/>
      <c r="M20" s="76"/>
      <c r="N20" s="76"/>
      <c r="O20" s="76"/>
      <c r="P20" s="76"/>
      <c r="Q20" s="76"/>
      <c r="R20" s="76"/>
      <c r="S20" s="76"/>
      <c r="T20" s="76"/>
      <c r="U20" s="76"/>
      <c r="V20" s="76"/>
      <c r="W20" s="76"/>
      <c r="X20" s="76"/>
      <c r="Y20" s="76"/>
      <c r="Z20" s="76"/>
      <c r="AA20" s="76"/>
      <c r="AB20" s="76"/>
    </row>
    <row r="21" spans="1:28" x14ac:dyDescent="0.15">
      <c r="A21" s="76"/>
      <c r="B21" s="76"/>
      <c r="C21" s="76"/>
      <c r="D21" s="76"/>
      <c r="E21" s="76"/>
      <c r="F21" s="76"/>
      <c r="G21" s="76"/>
      <c r="H21" s="76"/>
      <c r="I21" s="76"/>
      <c r="J21" s="76"/>
      <c r="K21" s="76"/>
      <c r="L21" s="76"/>
      <c r="M21" s="76"/>
      <c r="N21" s="76"/>
      <c r="O21" s="76"/>
      <c r="P21" s="76"/>
      <c r="Q21" s="76"/>
      <c r="R21" s="76"/>
      <c r="S21" s="76"/>
      <c r="T21" s="76"/>
      <c r="U21" s="76"/>
      <c r="V21" s="76"/>
      <c r="W21" s="76"/>
      <c r="X21" s="76"/>
      <c r="Y21" s="76"/>
      <c r="Z21" s="76"/>
      <c r="AA21" s="76"/>
      <c r="AB21" s="76"/>
    </row>
    <row r="22" spans="1:28" x14ac:dyDescent="0.15">
      <c r="A22" s="76"/>
      <c r="B22" s="76"/>
      <c r="C22" s="76"/>
      <c r="D22" s="76"/>
      <c r="E22" s="76"/>
      <c r="F22" s="76"/>
      <c r="G22" s="76"/>
      <c r="H22" s="76"/>
      <c r="I22" s="76"/>
      <c r="J22" s="76"/>
      <c r="K22" s="76"/>
      <c r="L22" s="76"/>
      <c r="M22" s="76"/>
      <c r="N22" s="76"/>
      <c r="O22" s="76"/>
      <c r="P22" s="76"/>
      <c r="Q22" s="76"/>
      <c r="R22" s="76"/>
      <c r="S22" s="76"/>
      <c r="T22" s="76"/>
      <c r="U22" s="76"/>
      <c r="V22" s="76"/>
      <c r="W22" s="76"/>
      <c r="X22" s="76"/>
      <c r="Y22" s="76"/>
      <c r="Z22" s="76"/>
      <c r="AA22" s="76"/>
      <c r="AB22" s="76"/>
    </row>
    <row r="23" spans="1:28" x14ac:dyDescent="0.15">
      <c r="A23" s="76"/>
      <c r="B23" s="76"/>
      <c r="C23" s="146" t="s">
        <v>56</v>
      </c>
      <c r="D23" s="6"/>
      <c r="E23" s="6"/>
      <c r="F23" s="6"/>
      <c r="G23" s="6"/>
      <c r="H23" s="6"/>
      <c r="I23" s="6"/>
      <c r="J23" s="6"/>
      <c r="K23" s="6"/>
      <c r="L23" s="6"/>
      <c r="M23" s="6"/>
      <c r="N23" s="6"/>
      <c r="O23" s="76"/>
      <c r="P23" s="76"/>
      <c r="Q23" s="76"/>
      <c r="R23" s="76"/>
      <c r="S23" s="76"/>
      <c r="T23" s="76"/>
      <c r="U23" s="76"/>
      <c r="V23" s="76"/>
      <c r="W23" s="76"/>
      <c r="X23" s="76"/>
      <c r="Y23" s="76"/>
      <c r="Z23" s="76"/>
      <c r="AA23" s="76"/>
      <c r="AB23" s="76"/>
    </row>
    <row r="24" spans="1:28" x14ac:dyDescent="0.15">
      <c r="A24" s="76"/>
      <c r="B24" s="76"/>
      <c r="C24" s="146"/>
      <c r="D24" s="6"/>
      <c r="E24" s="6"/>
      <c r="F24" s="6"/>
      <c r="G24" s="6"/>
      <c r="H24" s="6"/>
      <c r="I24" s="6"/>
      <c r="J24" s="6"/>
      <c r="K24" s="6"/>
      <c r="L24" s="6"/>
      <c r="M24" s="6"/>
      <c r="N24" s="6"/>
      <c r="O24" s="76"/>
      <c r="P24" s="76"/>
      <c r="Q24" s="76"/>
      <c r="R24" s="76"/>
      <c r="S24" s="76"/>
      <c r="T24" s="76"/>
      <c r="U24" s="76"/>
      <c r="V24" s="76"/>
      <c r="W24" s="76"/>
      <c r="X24" s="76"/>
      <c r="Y24" s="76"/>
      <c r="Z24" s="76"/>
      <c r="AA24" s="76"/>
      <c r="AB24" s="76"/>
    </row>
    <row r="25" spans="1:28" x14ac:dyDescent="0.15">
      <c r="A25" s="76"/>
      <c r="B25" s="76"/>
      <c r="C25" s="6"/>
      <c r="D25" s="6"/>
      <c r="E25" s="6"/>
      <c r="F25" s="6"/>
      <c r="G25" s="6"/>
      <c r="H25" s="6"/>
      <c r="I25" s="6"/>
      <c r="J25" s="6"/>
      <c r="K25" s="6"/>
      <c r="L25" s="6"/>
      <c r="M25" s="6"/>
      <c r="N25" s="6"/>
      <c r="O25" s="76"/>
      <c r="P25" s="76"/>
      <c r="Q25" s="76"/>
      <c r="R25" s="76"/>
      <c r="S25" s="76"/>
      <c r="T25" s="76"/>
      <c r="U25" s="76"/>
      <c r="V25" s="76"/>
      <c r="W25" s="76"/>
      <c r="X25" s="76"/>
      <c r="Y25" s="76"/>
      <c r="Z25" s="76"/>
      <c r="AA25" s="76"/>
      <c r="AB25" s="76"/>
    </row>
    <row r="26" spans="1:28" x14ac:dyDescent="0.15">
      <c r="A26" s="76"/>
      <c r="B26" s="76"/>
      <c r="C26" s="146"/>
      <c r="D26" s="6"/>
      <c r="E26" s="6"/>
      <c r="F26" s="6"/>
      <c r="G26" s="6"/>
      <c r="H26" s="6"/>
      <c r="I26" s="6"/>
      <c r="J26" s="6"/>
      <c r="K26" s="6"/>
      <c r="L26" s="6"/>
      <c r="M26" s="6"/>
      <c r="N26" s="6"/>
      <c r="O26" s="76"/>
      <c r="P26" s="76"/>
      <c r="Q26" s="76"/>
      <c r="R26" s="76"/>
      <c r="S26" s="76"/>
      <c r="T26" s="76"/>
      <c r="U26" s="76"/>
      <c r="V26" s="76"/>
      <c r="W26" s="76"/>
      <c r="X26" s="76"/>
      <c r="Y26" s="76"/>
      <c r="Z26" s="76"/>
      <c r="AA26" s="76"/>
      <c r="AB26" s="76"/>
    </row>
    <row r="27" spans="1:28" ht="49.5" customHeight="1" x14ac:dyDescent="0.15">
      <c r="A27" s="76"/>
      <c r="B27" s="76"/>
      <c r="C27" s="890" t="s">
        <v>261</v>
      </c>
      <c r="D27" s="890"/>
      <c r="E27" s="890"/>
      <c r="F27" s="890"/>
      <c r="G27" s="890"/>
      <c r="H27" s="890"/>
      <c r="I27" s="890"/>
      <c r="J27" s="890"/>
      <c r="K27" s="890"/>
      <c r="L27" s="890"/>
      <c r="M27" s="890"/>
      <c r="N27" s="890"/>
      <c r="O27" s="890"/>
      <c r="P27" s="76"/>
      <c r="Q27" s="76"/>
      <c r="R27" s="76"/>
      <c r="S27" s="76"/>
      <c r="T27" s="76"/>
      <c r="U27" s="76"/>
      <c r="V27" s="76"/>
      <c r="W27" s="76"/>
      <c r="X27" s="76"/>
      <c r="Y27" s="76"/>
      <c r="Z27" s="76"/>
      <c r="AA27" s="76"/>
      <c r="AB27" s="76"/>
    </row>
    <row r="28" spans="1:28" x14ac:dyDescent="0.15">
      <c r="A28" s="76"/>
      <c r="B28" s="76"/>
      <c r="C28" s="6"/>
      <c r="D28" s="6"/>
      <c r="E28" s="6"/>
      <c r="F28" s="6"/>
      <c r="G28" s="6"/>
      <c r="H28" s="6"/>
      <c r="I28" s="6"/>
      <c r="J28" s="6"/>
      <c r="K28" s="6"/>
      <c r="L28" s="6"/>
      <c r="M28" s="6"/>
      <c r="N28" s="6"/>
      <c r="O28" s="76"/>
      <c r="P28" s="76"/>
      <c r="Q28" s="76"/>
      <c r="R28" s="76"/>
      <c r="S28" s="76"/>
      <c r="T28" s="76"/>
      <c r="U28" s="76"/>
      <c r="V28" s="76"/>
      <c r="W28" s="76"/>
      <c r="X28" s="76"/>
      <c r="Y28" s="76"/>
      <c r="Z28" s="76"/>
      <c r="AA28" s="76"/>
      <c r="AB28" s="76"/>
    </row>
    <row r="29" spans="1:28" x14ac:dyDescent="0.15">
      <c r="A29" s="76"/>
      <c r="B29" s="76"/>
      <c r="C29" s="76"/>
      <c r="D29" s="76"/>
      <c r="E29" s="76"/>
      <c r="F29" s="76"/>
      <c r="G29" s="76"/>
      <c r="H29" s="76"/>
      <c r="I29" s="76"/>
      <c r="J29" s="76"/>
      <c r="K29" s="76"/>
      <c r="L29" s="76"/>
      <c r="M29" s="76"/>
      <c r="N29" s="76"/>
      <c r="O29" s="76"/>
      <c r="P29" s="76"/>
      <c r="Q29" s="76"/>
      <c r="R29" s="76"/>
      <c r="S29" s="76"/>
      <c r="T29" s="76"/>
      <c r="U29" s="76"/>
      <c r="V29" s="76"/>
      <c r="W29" s="76"/>
      <c r="X29" s="76"/>
      <c r="Y29" s="76"/>
      <c r="Z29" s="76"/>
      <c r="AA29" s="76"/>
      <c r="AB29" s="76"/>
    </row>
    <row r="30" spans="1:28" x14ac:dyDescent="0.15">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6"/>
      <c r="AA30" s="76"/>
      <c r="AB30" s="76"/>
    </row>
    <row r="31" spans="1:28" x14ac:dyDescent="0.15">
      <c r="A31" s="76"/>
      <c r="B31" s="76"/>
      <c r="C31" s="76"/>
      <c r="D31" s="76"/>
      <c r="E31" s="76"/>
      <c r="F31" s="76"/>
      <c r="G31" s="76"/>
      <c r="H31" s="76"/>
      <c r="I31" s="76"/>
      <c r="J31" s="76"/>
      <c r="K31" s="76"/>
      <c r="L31" s="76"/>
      <c r="M31" s="76"/>
      <c r="N31" s="76"/>
      <c r="O31" s="76"/>
      <c r="P31" s="76"/>
      <c r="Q31" s="76"/>
      <c r="R31" s="76"/>
      <c r="S31" s="76"/>
      <c r="T31" s="76"/>
      <c r="U31" s="76"/>
      <c r="V31" s="76"/>
      <c r="W31" s="76"/>
      <c r="X31" s="76"/>
      <c r="Y31" s="76"/>
      <c r="Z31" s="76"/>
      <c r="AA31" s="76"/>
      <c r="AB31" s="76"/>
    </row>
    <row r="32" spans="1:28" x14ac:dyDescent="0.15">
      <c r="A32" s="76"/>
      <c r="B32" s="76"/>
      <c r="C32" s="76"/>
      <c r="D32" s="76"/>
      <c r="E32" s="76"/>
      <c r="F32" s="76"/>
      <c r="G32" s="76"/>
      <c r="H32" s="76"/>
      <c r="I32" s="76"/>
      <c r="J32" s="76"/>
      <c r="K32" s="76"/>
      <c r="L32" s="76"/>
      <c r="M32" s="76"/>
      <c r="N32" s="76"/>
      <c r="O32" s="76"/>
      <c r="P32" s="76"/>
      <c r="Q32" s="76"/>
      <c r="R32" s="76"/>
      <c r="S32" s="76"/>
      <c r="T32" s="76"/>
      <c r="U32" s="76"/>
      <c r="V32" s="76"/>
      <c r="W32" s="76"/>
      <c r="X32" s="76"/>
      <c r="Y32" s="76"/>
      <c r="Z32" s="76"/>
      <c r="AA32" s="76"/>
      <c r="AB32" s="76"/>
    </row>
    <row r="33" spans="1:28" x14ac:dyDescent="0.15">
      <c r="A33" s="76"/>
      <c r="B33" s="76"/>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row>
    <row r="34" spans="1:28" x14ac:dyDescent="0.15">
      <c r="A34" s="76"/>
      <c r="B34" s="76"/>
      <c r="C34" s="76"/>
      <c r="D34" s="76"/>
      <c r="E34" s="76"/>
      <c r="F34" s="76"/>
      <c r="G34" s="76"/>
      <c r="H34" s="76"/>
      <c r="I34" s="76"/>
      <c r="J34" s="76"/>
      <c r="K34" s="76"/>
      <c r="L34" s="76"/>
      <c r="M34" s="76"/>
      <c r="N34" s="76"/>
      <c r="O34" s="76"/>
      <c r="P34" s="76"/>
      <c r="Q34" s="76"/>
      <c r="R34" s="76"/>
      <c r="S34" s="76"/>
      <c r="T34" s="76"/>
      <c r="U34" s="76"/>
      <c r="V34" s="76"/>
      <c r="W34" s="76"/>
      <c r="X34" s="76"/>
      <c r="Y34" s="76"/>
      <c r="Z34" s="76"/>
      <c r="AA34" s="76"/>
      <c r="AB34" s="76"/>
    </row>
    <row r="35" spans="1:28" x14ac:dyDescent="0.15">
      <c r="A35" s="76"/>
      <c r="B35" s="76"/>
      <c r="C35" s="76"/>
      <c r="D35" s="76"/>
      <c r="E35" s="76"/>
      <c r="F35" s="76"/>
      <c r="G35" s="76"/>
      <c r="H35" s="76"/>
      <c r="I35" s="76"/>
      <c r="J35" s="76"/>
      <c r="K35" s="76"/>
      <c r="L35" s="76"/>
      <c r="M35" s="76"/>
      <c r="N35" s="76"/>
      <c r="O35" s="76"/>
      <c r="P35" s="76"/>
      <c r="Q35" s="76"/>
      <c r="R35" s="76"/>
      <c r="S35" s="76"/>
      <c r="T35" s="76"/>
      <c r="U35" s="76"/>
      <c r="V35" s="76"/>
      <c r="W35" s="76"/>
      <c r="X35" s="76"/>
      <c r="Y35" s="76"/>
      <c r="Z35" s="76"/>
      <c r="AA35" s="76"/>
      <c r="AB35" s="76"/>
    </row>
    <row r="36" spans="1:28" x14ac:dyDescent="0.15">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c r="AA36" s="76"/>
      <c r="AB36" s="76"/>
    </row>
    <row r="37" spans="1:28" x14ac:dyDescent="0.15">
      <c r="A37" s="76"/>
      <c r="B37" s="76"/>
      <c r="C37" s="76"/>
      <c r="D37" s="76"/>
      <c r="E37" s="76"/>
      <c r="F37" s="76"/>
      <c r="G37" s="76"/>
      <c r="H37" s="76"/>
      <c r="I37" s="76"/>
      <c r="J37" s="76"/>
      <c r="K37" s="76"/>
      <c r="L37" s="76"/>
      <c r="M37" s="76"/>
      <c r="N37" s="76"/>
      <c r="O37" s="76"/>
      <c r="P37" s="76"/>
      <c r="Q37" s="76"/>
      <c r="R37" s="76"/>
      <c r="S37" s="76"/>
      <c r="T37" s="76"/>
      <c r="U37" s="76"/>
      <c r="V37" s="76"/>
      <c r="W37" s="76"/>
      <c r="X37" s="76"/>
      <c r="Y37" s="76"/>
      <c r="Z37" s="76"/>
      <c r="AA37" s="76"/>
      <c r="AB37" s="76"/>
    </row>
    <row r="38" spans="1:28" x14ac:dyDescent="0.15">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c r="AA38" s="76"/>
      <c r="AB38" s="76"/>
    </row>
    <row r="39" spans="1:28" x14ac:dyDescent="0.15">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c r="AA39" s="76"/>
      <c r="AB39" s="76"/>
    </row>
    <row r="40" spans="1:28" x14ac:dyDescent="0.15">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c r="AA40" s="76"/>
      <c r="AB40" s="76"/>
    </row>
    <row r="41" spans="1:28" x14ac:dyDescent="0.15">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c r="AA41" s="76"/>
      <c r="AB41" s="76"/>
    </row>
    <row r="42" spans="1:28" x14ac:dyDescent="0.15">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c r="AA42" s="76"/>
      <c r="AB42" s="76"/>
    </row>
    <row r="43" spans="1:28" x14ac:dyDescent="0.15">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c r="AA43" s="76"/>
      <c r="AB43" s="76"/>
    </row>
    <row r="44" spans="1:28" x14ac:dyDescent="0.15">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c r="AA44" s="76"/>
      <c r="AB44" s="76"/>
    </row>
    <row r="45" spans="1:28" x14ac:dyDescent="0.15">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c r="AA45" s="76"/>
      <c r="AB45" s="76"/>
    </row>
    <row r="46" spans="1:28" x14ac:dyDescent="0.15">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c r="AA46" s="76"/>
      <c r="AB46" s="76"/>
    </row>
    <row r="47" spans="1:28" x14ac:dyDescent="0.15">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c r="AA47" s="76"/>
      <c r="AB47" s="76"/>
    </row>
    <row r="48" spans="1:28" x14ac:dyDescent="0.15">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row>
    <row r="49" spans="1:28" x14ac:dyDescent="0.15">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row>
    <row r="50" spans="1:28" x14ac:dyDescent="0.15">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row>
    <row r="51" spans="1:28" x14ac:dyDescent="0.15">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c r="AA51" s="76"/>
      <c r="AB51" s="76"/>
    </row>
    <row r="52" spans="1:28" x14ac:dyDescent="0.15">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row>
    <row r="53" spans="1:28" x14ac:dyDescent="0.15">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row>
    <row r="54" spans="1:28" x14ac:dyDescent="0.15">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row>
    <row r="55" spans="1:28" x14ac:dyDescent="0.15">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c r="AA55" s="76"/>
      <c r="AB55" s="76"/>
    </row>
    <row r="56" spans="1:28" x14ac:dyDescent="0.15">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row>
    <row r="57" spans="1:28" x14ac:dyDescent="0.15">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c r="AA57" s="76"/>
      <c r="AB57" s="76"/>
    </row>
    <row r="58" spans="1:28" x14ac:dyDescent="0.15">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row>
    <row r="59" spans="1:28" x14ac:dyDescent="0.15">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row>
    <row r="60" spans="1:28" x14ac:dyDescent="0.15">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row>
    <row r="61" spans="1:28" x14ac:dyDescent="0.15">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row>
    <row r="62" spans="1:28" x14ac:dyDescent="0.15">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c r="AA62" s="76"/>
      <c r="AB62" s="76"/>
    </row>
    <row r="63" spans="1:28" x14ac:dyDescent="0.15">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c r="AA63" s="76"/>
      <c r="AB63" s="76"/>
    </row>
    <row r="64" spans="1:28" x14ac:dyDescent="0.15">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c r="AA64" s="76"/>
      <c r="AB64" s="76"/>
    </row>
    <row r="65" spans="1:28" x14ac:dyDescent="0.15">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c r="AA65" s="76"/>
      <c r="AB65" s="76"/>
    </row>
    <row r="66" spans="1:28" x14ac:dyDescent="0.15">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c r="AA66" s="76"/>
      <c r="AB66" s="76"/>
    </row>
    <row r="67" spans="1:28" x14ac:dyDescent="0.15">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c r="AA67" s="76"/>
      <c r="AB67" s="76"/>
    </row>
    <row r="68" spans="1:28" x14ac:dyDescent="0.15">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c r="AA68" s="76"/>
      <c r="AB68" s="76"/>
    </row>
    <row r="69" spans="1:28" x14ac:dyDescent="0.15">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row>
    <row r="70" spans="1:28" x14ac:dyDescent="0.15">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c r="AA70" s="76"/>
      <c r="AB70" s="76"/>
    </row>
    <row r="71" spans="1:28" x14ac:dyDescent="0.15">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c r="AA71" s="76"/>
      <c r="AB71" s="76"/>
    </row>
    <row r="72" spans="1:28" x14ac:dyDescent="0.15">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c r="AA72" s="76"/>
      <c r="AB72" s="76"/>
    </row>
    <row r="73" spans="1:28" x14ac:dyDescent="0.15">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c r="AA73" s="76"/>
      <c r="AB73" s="76"/>
    </row>
    <row r="74" spans="1:28" x14ac:dyDescent="0.15">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c r="AA74" s="76"/>
      <c r="AB74" s="76"/>
    </row>
    <row r="75" spans="1:28" x14ac:dyDescent="0.15">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c r="AA75" s="76"/>
      <c r="AB75" s="76"/>
    </row>
    <row r="76" spans="1:28" x14ac:dyDescent="0.15">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c r="AA76" s="76"/>
      <c r="AB76" s="76"/>
    </row>
    <row r="77" spans="1:28" x14ac:dyDescent="0.15">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c r="AA77" s="76"/>
      <c r="AB77" s="76"/>
    </row>
    <row r="78" spans="1:28" x14ac:dyDescent="0.15">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c r="AA78" s="76"/>
      <c r="AB78" s="76"/>
    </row>
    <row r="79" spans="1:28" x14ac:dyDescent="0.15">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row>
    <row r="80" spans="1:28" x14ac:dyDescent="0.15">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row>
    <row r="81" spans="1:28" x14ac:dyDescent="0.15">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row>
    <row r="82" spans="1:28" x14ac:dyDescent="0.15">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c r="AA82" s="76"/>
      <c r="AB82" s="76"/>
    </row>
  </sheetData>
  <mergeCells count="1">
    <mergeCell ref="C27:O27"/>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5BE295E-2EDC-4C3C-9C61-B6BB11DAA1F9}">
          <x14:formula1>
            <xm:f>'Do Not Edit'!$A$11:$A$15</xm:f>
          </x14:formula1>
          <xm:sqref>C6 F6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921CA-FC61-4B94-B13E-F1EBBE039A44}">
  <sheetPr>
    <tabColor rgb="FFFF5050"/>
  </sheetPr>
  <dimension ref="A1:AA96"/>
  <sheetViews>
    <sheetView tabSelected="1" topLeftCell="A8" workbookViewId="0">
      <selection activeCell="O64" sqref="O64"/>
    </sheetView>
  </sheetViews>
  <sheetFormatPr baseColWidth="10" defaultColWidth="8.83203125" defaultRowHeight="15" x14ac:dyDescent="0.2"/>
  <cols>
    <col min="12" max="12" width="13.6640625" bestFit="1" customWidth="1"/>
  </cols>
  <sheetData>
    <row r="1" spans="1:27" x14ac:dyDescent="0.2">
      <c r="A1" s="40"/>
      <c r="B1" s="40"/>
      <c r="C1" s="40"/>
      <c r="D1" s="40"/>
      <c r="E1" s="40"/>
      <c r="F1" s="40"/>
      <c r="G1" s="40"/>
      <c r="H1" s="40"/>
      <c r="I1" s="40"/>
      <c r="J1" s="40"/>
      <c r="K1" s="40"/>
      <c r="L1" s="40"/>
      <c r="M1" s="40"/>
      <c r="N1" s="40"/>
      <c r="O1" s="40"/>
      <c r="P1" s="40"/>
      <c r="Q1" s="40"/>
      <c r="R1" s="40"/>
      <c r="S1" s="40"/>
      <c r="T1" s="40"/>
      <c r="U1" s="40"/>
      <c r="V1" s="40"/>
      <c r="W1" s="40"/>
      <c r="X1" s="40"/>
      <c r="Y1" s="40"/>
      <c r="Z1" s="40"/>
      <c r="AA1" s="40"/>
    </row>
    <row r="2" spans="1:27" x14ac:dyDescent="0.2">
      <c r="A2" s="40"/>
      <c r="B2" s="507" t="s">
        <v>555</v>
      </c>
      <c r="C2" s="40"/>
      <c r="D2" s="40"/>
      <c r="E2" s="40"/>
      <c r="F2" s="40"/>
      <c r="G2" s="40"/>
      <c r="H2" s="40"/>
      <c r="I2" s="40"/>
      <c r="J2" s="40"/>
      <c r="K2" s="40"/>
      <c r="L2" s="40"/>
      <c r="M2" s="40"/>
      <c r="N2" s="40"/>
      <c r="O2" s="40"/>
      <c r="P2" s="40"/>
      <c r="Q2" s="40"/>
      <c r="R2" s="40"/>
      <c r="S2" s="40"/>
      <c r="T2" s="40"/>
      <c r="U2" s="40"/>
      <c r="V2" s="40"/>
      <c r="W2" s="40"/>
      <c r="X2" s="40"/>
      <c r="Y2" s="40"/>
      <c r="Z2" s="40"/>
      <c r="AA2" s="40"/>
    </row>
    <row r="3" spans="1:27" ht="16" thickBot="1" x14ac:dyDescent="0.25">
      <c r="A3" s="510"/>
      <c r="B3" s="40"/>
      <c r="C3" s="40"/>
      <c r="D3" s="40"/>
      <c r="E3" s="40"/>
      <c r="F3" s="40"/>
      <c r="G3" s="40"/>
      <c r="H3" s="40"/>
      <c r="I3" s="40"/>
      <c r="J3" s="40"/>
      <c r="K3" s="40"/>
      <c r="L3" s="40"/>
      <c r="M3" s="40"/>
      <c r="N3" s="40"/>
      <c r="O3" s="40"/>
      <c r="P3" s="40"/>
      <c r="Q3" s="40"/>
      <c r="R3" s="40"/>
      <c r="S3" s="40"/>
      <c r="T3" s="40"/>
      <c r="U3" s="40"/>
      <c r="V3" s="40"/>
      <c r="W3" s="40"/>
      <c r="X3" s="40"/>
      <c r="Y3" s="40"/>
      <c r="Z3" s="40"/>
      <c r="AA3" s="40"/>
    </row>
    <row r="4" spans="1:27" x14ac:dyDescent="0.2">
      <c r="A4" s="510"/>
      <c r="B4" s="40"/>
      <c r="C4" s="40"/>
      <c r="D4" s="500"/>
      <c r="E4" s="501"/>
      <c r="F4" s="501"/>
      <c r="G4" s="501"/>
      <c r="H4" s="501"/>
      <c r="I4" s="501"/>
      <c r="J4" s="501"/>
      <c r="K4" s="501"/>
      <c r="L4" s="501"/>
      <c r="M4" s="501"/>
      <c r="N4" s="501"/>
      <c r="O4" s="501"/>
      <c r="P4" s="501"/>
      <c r="Q4" s="501"/>
      <c r="R4" s="502"/>
      <c r="S4" s="40"/>
      <c r="T4" s="40"/>
      <c r="U4" s="40"/>
      <c r="V4" s="40"/>
      <c r="W4" s="40"/>
      <c r="X4" s="40"/>
      <c r="Y4" s="40"/>
      <c r="Z4" s="40"/>
      <c r="AA4" s="40"/>
    </row>
    <row r="5" spans="1:27" x14ac:dyDescent="0.2">
      <c r="A5" s="510"/>
      <c r="B5" s="40"/>
      <c r="C5" s="40"/>
      <c r="D5" s="201" t="s">
        <v>512</v>
      </c>
      <c r="E5" s="64"/>
      <c r="F5" s="64"/>
      <c r="G5" s="64"/>
      <c r="H5" s="64"/>
      <c r="I5" s="64"/>
      <c r="J5" s="64"/>
      <c r="K5" s="64" t="s">
        <v>515</v>
      </c>
      <c r="L5" s="100">
        <v>0.5</v>
      </c>
      <c r="M5" s="503">
        <f>L5</f>
        <v>0.5</v>
      </c>
      <c r="N5" s="64" t="s">
        <v>518</v>
      </c>
      <c r="O5" s="64"/>
      <c r="P5" s="64"/>
      <c r="Q5" s="40"/>
      <c r="R5" s="504"/>
      <c r="S5" s="40"/>
      <c r="T5" s="40"/>
      <c r="U5" s="40"/>
      <c r="V5" s="40"/>
      <c r="W5" s="40"/>
      <c r="X5" s="40"/>
      <c r="Y5" s="40"/>
      <c r="Z5" s="40"/>
      <c r="AA5" s="40"/>
    </row>
    <row r="6" spans="1:27" x14ac:dyDescent="0.2">
      <c r="A6" s="510"/>
      <c r="B6" s="40"/>
      <c r="C6" s="40"/>
      <c r="D6" s="201"/>
      <c r="E6" s="64"/>
      <c r="F6" s="64"/>
      <c r="G6" s="64"/>
      <c r="H6" s="64"/>
      <c r="I6" s="64"/>
      <c r="J6" s="64"/>
      <c r="K6" s="64"/>
      <c r="L6" s="65"/>
      <c r="M6" s="718">
        <f>1-M5</f>
        <v>0.5</v>
      </c>
      <c r="N6" s="64" t="s">
        <v>712</v>
      </c>
      <c r="O6" s="64"/>
      <c r="P6" s="64"/>
      <c r="Q6" s="40"/>
      <c r="R6" s="504"/>
      <c r="S6" s="40"/>
      <c r="T6" s="40"/>
      <c r="U6" s="40"/>
      <c r="V6" s="40"/>
      <c r="W6" s="40"/>
      <c r="X6" s="40"/>
      <c r="Y6" s="40"/>
      <c r="Z6" s="40"/>
      <c r="AA6" s="40"/>
    </row>
    <row r="7" spans="1:27" x14ac:dyDescent="0.2">
      <c r="A7" s="510"/>
      <c r="B7" s="40"/>
      <c r="C7" s="40"/>
      <c r="D7" s="201" t="s">
        <v>510</v>
      </c>
      <c r="E7" s="64"/>
      <c r="F7" s="64"/>
      <c r="G7" s="64"/>
      <c r="H7" s="64"/>
      <c r="I7" s="64"/>
      <c r="J7" s="64"/>
      <c r="K7" s="64" t="s">
        <v>515</v>
      </c>
      <c r="L7" s="100">
        <v>0.87</v>
      </c>
      <c r="M7" s="64"/>
      <c r="N7" s="64" t="s">
        <v>513</v>
      </c>
      <c r="O7" s="64"/>
      <c r="P7" s="64">
        <f>1-L7</f>
        <v>0.13</v>
      </c>
      <c r="Q7" s="40"/>
      <c r="R7" s="504"/>
      <c r="S7" s="40"/>
      <c r="T7" s="40"/>
      <c r="U7" s="40"/>
      <c r="V7" s="40"/>
      <c r="W7" s="40"/>
      <c r="X7" s="40"/>
      <c r="Y7" s="40"/>
      <c r="Z7" s="40"/>
      <c r="AA7" s="40"/>
    </row>
    <row r="8" spans="1:27" x14ac:dyDescent="0.2">
      <c r="A8" s="510"/>
      <c r="B8" s="40"/>
      <c r="C8" s="40"/>
      <c r="D8" s="201"/>
      <c r="E8" s="64"/>
      <c r="F8" s="64"/>
      <c r="G8" s="64"/>
      <c r="H8" s="64"/>
      <c r="I8" s="64"/>
      <c r="J8" s="64"/>
      <c r="K8" s="64"/>
      <c r="L8" s="65"/>
      <c r="M8" s="64"/>
      <c r="N8" s="64"/>
      <c r="O8" s="64"/>
      <c r="P8" s="64"/>
      <c r="Q8" s="40"/>
      <c r="R8" s="504"/>
      <c r="S8" s="40"/>
      <c r="T8" s="40"/>
      <c r="U8" s="40"/>
      <c r="V8" s="40"/>
      <c r="W8" s="40"/>
      <c r="X8" s="40"/>
      <c r="Y8" s="40"/>
      <c r="Z8" s="40"/>
      <c r="AA8" s="40"/>
    </row>
    <row r="9" spans="1:27" x14ac:dyDescent="0.2">
      <c r="A9" s="510"/>
      <c r="B9" s="40"/>
      <c r="C9" s="40"/>
      <c r="D9" s="201" t="s">
        <v>511</v>
      </c>
      <c r="E9" s="64"/>
      <c r="F9" s="64"/>
      <c r="G9" s="64"/>
      <c r="H9" s="64"/>
      <c r="I9" s="64"/>
      <c r="J9" s="64"/>
      <c r="K9" s="64" t="s">
        <v>515</v>
      </c>
      <c r="L9" s="100">
        <v>0.5</v>
      </c>
      <c r="M9" s="64"/>
      <c r="N9" s="64" t="s">
        <v>514</v>
      </c>
      <c r="O9" s="64"/>
      <c r="P9" s="64">
        <f>1-L9</f>
        <v>0.5</v>
      </c>
      <c r="Q9" s="40"/>
      <c r="R9" s="504"/>
      <c r="S9" s="40"/>
      <c r="T9" s="40"/>
      <c r="U9" s="40"/>
      <c r="V9" s="40"/>
      <c r="W9" s="40"/>
      <c r="X9" s="40"/>
      <c r="Y9" s="40"/>
      <c r="Z9" s="40"/>
      <c r="AA9" s="40"/>
    </row>
    <row r="10" spans="1:27" x14ac:dyDescent="0.2">
      <c r="A10" s="510"/>
      <c r="B10" s="40"/>
      <c r="C10" s="40"/>
      <c r="D10" s="201"/>
      <c r="E10" s="64"/>
      <c r="F10" s="64"/>
      <c r="G10" s="64"/>
      <c r="H10" s="64"/>
      <c r="I10" s="64"/>
      <c r="J10" s="64"/>
      <c r="K10" s="64"/>
      <c r="L10" s="65"/>
      <c r="M10" s="64"/>
      <c r="N10" s="64"/>
      <c r="O10" s="64"/>
      <c r="P10" s="64"/>
      <c r="Q10" s="40"/>
      <c r="R10" s="504"/>
      <c r="S10" s="40"/>
      <c r="T10" s="40"/>
      <c r="U10" s="40"/>
      <c r="V10" s="40"/>
      <c r="W10" s="40"/>
      <c r="X10" s="40"/>
      <c r="Y10" s="40"/>
      <c r="Z10" s="40"/>
      <c r="AA10" s="40"/>
    </row>
    <row r="11" spans="1:27" x14ac:dyDescent="0.2">
      <c r="A11" s="510"/>
      <c r="B11" s="40"/>
      <c r="C11" s="40"/>
      <c r="D11" s="201" t="s">
        <v>516</v>
      </c>
      <c r="E11" s="64"/>
      <c r="F11" s="64"/>
      <c r="G11" s="64"/>
      <c r="H11" s="64"/>
      <c r="I11" s="64"/>
      <c r="J11" s="64"/>
      <c r="K11" s="64"/>
      <c r="L11" s="67">
        <f>(L9*L5)/((L9*L5)+((1-L7)*(1-L5)))</f>
        <v>0.79365079365079361</v>
      </c>
      <c r="M11" s="64"/>
      <c r="N11" s="64"/>
      <c r="O11" s="64"/>
      <c r="P11" s="64"/>
      <c r="Q11" s="40"/>
      <c r="R11" s="504"/>
      <c r="S11" s="40"/>
      <c r="T11" s="40"/>
      <c r="U11" s="40"/>
      <c r="V11" s="40"/>
      <c r="W11" s="40"/>
      <c r="X11" s="40"/>
      <c r="Y11" s="40"/>
      <c r="Z11" s="40"/>
      <c r="AA11" s="40"/>
    </row>
    <row r="12" spans="1:27" x14ac:dyDescent="0.2">
      <c r="A12" s="510"/>
      <c r="B12" s="40"/>
      <c r="C12" s="40"/>
      <c r="D12" s="201"/>
      <c r="E12" s="64"/>
      <c r="F12" s="64"/>
      <c r="G12" s="64"/>
      <c r="H12" s="64"/>
      <c r="I12" s="64"/>
      <c r="J12" s="64"/>
      <c r="K12" s="64"/>
      <c r="L12" s="65"/>
      <c r="M12" s="64"/>
      <c r="N12" s="64"/>
      <c r="O12" s="64"/>
      <c r="P12" s="64"/>
      <c r="Q12" s="40"/>
      <c r="R12" s="504"/>
      <c r="S12" s="40"/>
      <c r="T12" s="40"/>
      <c r="U12" s="40"/>
      <c r="V12" s="40"/>
      <c r="W12" s="40"/>
      <c r="X12" s="40"/>
      <c r="Y12" s="40"/>
      <c r="Z12" s="40"/>
      <c r="AA12" s="40"/>
    </row>
    <row r="13" spans="1:27" x14ac:dyDescent="0.2">
      <c r="A13" s="510"/>
      <c r="B13" s="40"/>
      <c r="C13" s="40"/>
      <c r="D13" s="201" t="s">
        <v>517</v>
      </c>
      <c r="E13" s="64"/>
      <c r="F13" s="64"/>
      <c r="G13" s="64"/>
      <c r="H13" s="64"/>
      <c r="I13" s="64"/>
      <c r="J13" s="64"/>
      <c r="K13" s="64"/>
      <c r="L13" s="67">
        <f>(L7*(1-L5))/(((1-L9)*L5)+(L7*(1-L5)))</f>
        <v>0.63503649635036497</v>
      </c>
      <c r="M13" s="64"/>
      <c r="N13" s="64"/>
      <c r="O13" s="64"/>
      <c r="P13" s="64"/>
      <c r="Q13" s="40"/>
      <c r="R13" s="504"/>
      <c r="S13" s="40"/>
      <c r="T13" s="40"/>
      <c r="U13" s="40"/>
      <c r="V13" s="40"/>
      <c r="W13" s="40"/>
      <c r="X13" s="40"/>
      <c r="Y13" s="40"/>
      <c r="Z13" s="40"/>
      <c r="AA13" s="40"/>
    </row>
    <row r="14" spans="1:27" x14ac:dyDescent="0.2">
      <c r="A14" s="510"/>
      <c r="B14" s="40"/>
      <c r="C14" s="40"/>
      <c r="D14" s="201"/>
      <c r="E14" s="64"/>
      <c r="F14" s="64"/>
      <c r="G14" s="64"/>
      <c r="H14" s="64"/>
      <c r="I14" s="64"/>
      <c r="J14" s="64"/>
      <c r="K14" s="64"/>
      <c r="L14" s="65"/>
      <c r="M14" s="64"/>
      <c r="N14" s="64"/>
      <c r="O14" s="64"/>
      <c r="P14" s="64"/>
      <c r="Q14" s="40"/>
      <c r="R14" s="504"/>
      <c r="S14" s="40"/>
      <c r="T14" s="40"/>
      <c r="U14" s="40"/>
      <c r="V14" s="40"/>
      <c r="W14" s="40"/>
      <c r="X14" s="40"/>
      <c r="Y14" s="40"/>
      <c r="Z14" s="40"/>
      <c r="AA14" s="40"/>
    </row>
    <row r="15" spans="1:27" x14ac:dyDescent="0.2">
      <c r="A15" s="510"/>
      <c r="B15" s="40"/>
      <c r="C15" s="40"/>
      <c r="D15" s="201"/>
      <c r="E15" s="64"/>
      <c r="F15" s="64"/>
      <c r="G15" s="64"/>
      <c r="H15" s="64"/>
      <c r="I15" s="64"/>
      <c r="J15" s="64"/>
      <c r="K15" s="64"/>
      <c r="L15" s="65"/>
      <c r="M15" s="64"/>
      <c r="N15" s="64"/>
      <c r="O15" s="64"/>
      <c r="P15" s="64"/>
      <c r="Q15" s="40"/>
      <c r="R15" s="504"/>
      <c r="S15" s="40"/>
      <c r="T15" s="40"/>
      <c r="U15" s="40"/>
      <c r="V15" s="40"/>
      <c r="W15" s="40"/>
      <c r="X15" s="40"/>
      <c r="Y15" s="40"/>
      <c r="Z15" s="40"/>
      <c r="AA15" s="40"/>
    </row>
    <row r="16" spans="1:27" x14ac:dyDescent="0.2">
      <c r="A16" s="510"/>
      <c r="B16" s="40"/>
      <c r="C16" s="40"/>
      <c r="D16" s="201"/>
      <c r="E16" s="64"/>
      <c r="F16" s="64"/>
      <c r="G16" s="64"/>
      <c r="H16" s="64"/>
      <c r="I16" s="64"/>
      <c r="J16" s="64"/>
      <c r="K16" s="64"/>
      <c r="L16" s="65"/>
      <c r="M16" s="64"/>
      <c r="N16" s="64"/>
      <c r="O16" s="64"/>
      <c r="P16" s="64"/>
      <c r="Q16" s="40"/>
      <c r="R16" s="504"/>
      <c r="S16" s="40"/>
      <c r="T16" s="40"/>
      <c r="U16" s="40"/>
      <c r="V16" s="40"/>
      <c r="W16" s="40"/>
      <c r="X16" s="40"/>
      <c r="Y16" s="40"/>
      <c r="Z16" s="40"/>
      <c r="AA16" s="40"/>
    </row>
    <row r="17" spans="1:27" ht="16" thickBot="1" x14ac:dyDescent="0.25">
      <c r="A17" s="510"/>
      <c r="B17" s="40"/>
      <c r="C17" s="40"/>
      <c r="D17" s="211"/>
      <c r="E17" s="212"/>
      <c r="F17" s="212"/>
      <c r="G17" s="212"/>
      <c r="H17" s="212"/>
      <c r="I17" s="212"/>
      <c r="J17" s="212"/>
      <c r="K17" s="212"/>
      <c r="L17" s="212"/>
      <c r="M17" s="212"/>
      <c r="N17" s="212"/>
      <c r="O17" s="212"/>
      <c r="P17" s="212"/>
      <c r="Q17" s="505"/>
      <c r="R17" s="506"/>
      <c r="S17" s="40"/>
      <c r="T17" s="40"/>
      <c r="U17" s="40"/>
      <c r="V17" s="40"/>
      <c r="W17" s="40"/>
      <c r="X17" s="40"/>
      <c r="Y17" s="40"/>
      <c r="Z17" s="40"/>
      <c r="AA17" s="40"/>
    </row>
    <row r="18" spans="1:27" x14ac:dyDescent="0.2">
      <c r="A18" s="510"/>
      <c r="B18" s="40"/>
      <c r="C18" s="40"/>
      <c r="D18" s="64"/>
      <c r="E18" s="64"/>
      <c r="F18" s="64"/>
      <c r="G18" s="64"/>
      <c r="H18" s="64"/>
      <c r="I18" s="64"/>
      <c r="J18" s="64"/>
      <c r="K18" s="64"/>
      <c r="L18" s="64"/>
      <c r="M18" s="64"/>
      <c r="N18" s="64"/>
      <c r="O18" s="64"/>
      <c r="P18" s="64"/>
      <c r="Q18" s="40"/>
      <c r="R18" s="504"/>
      <c r="S18" s="40"/>
      <c r="T18" s="40"/>
      <c r="U18" s="40"/>
      <c r="V18" s="40"/>
      <c r="W18" s="40"/>
      <c r="X18" s="40"/>
      <c r="Y18" s="40"/>
      <c r="Z18" s="40"/>
      <c r="AA18" s="40"/>
    </row>
    <row r="19" spans="1:27" x14ac:dyDescent="0.2">
      <c r="A19" s="510"/>
      <c r="B19" s="40"/>
      <c r="C19" s="40"/>
      <c r="D19" s="64"/>
      <c r="E19" s="64"/>
      <c r="F19" s="64"/>
      <c r="G19" s="64"/>
      <c r="H19" s="64"/>
      <c r="I19" s="64"/>
      <c r="J19" s="64"/>
      <c r="K19" s="64"/>
      <c r="L19" s="64"/>
      <c r="M19" s="64"/>
      <c r="N19" s="64"/>
      <c r="O19" s="64"/>
      <c r="P19" s="64"/>
      <c r="Q19" s="40"/>
      <c r="R19" s="504"/>
      <c r="S19" s="40"/>
      <c r="T19" s="40"/>
      <c r="U19" s="40"/>
      <c r="V19" s="40"/>
      <c r="W19" s="40"/>
      <c r="X19" s="40"/>
      <c r="Y19" s="40"/>
      <c r="Z19" s="40"/>
      <c r="AA19" s="40"/>
    </row>
    <row r="20" spans="1:27" x14ac:dyDescent="0.2">
      <c r="A20" s="510"/>
      <c r="B20" s="507" t="s">
        <v>556</v>
      </c>
      <c r="C20" s="40"/>
      <c r="D20" s="64"/>
      <c r="E20" s="64"/>
      <c r="F20" s="64"/>
      <c r="G20" s="64"/>
      <c r="H20" s="64"/>
      <c r="I20" s="64"/>
      <c r="J20" s="64"/>
      <c r="K20" s="64"/>
      <c r="L20" s="64"/>
      <c r="M20" s="64"/>
      <c r="N20" s="64"/>
      <c r="O20" s="64"/>
      <c r="P20" s="64"/>
      <c r="Q20" s="40"/>
      <c r="R20" s="504"/>
      <c r="S20" s="40"/>
      <c r="T20" s="40"/>
      <c r="U20" s="40"/>
      <c r="V20" s="40"/>
      <c r="W20" s="40"/>
      <c r="X20" s="40"/>
      <c r="Y20" s="40"/>
      <c r="Z20" s="40"/>
      <c r="AA20" s="40"/>
    </row>
    <row r="21" spans="1:27" ht="16" thickBot="1" x14ac:dyDescent="0.25">
      <c r="A21" s="510"/>
      <c r="B21" s="40"/>
      <c r="C21" s="40"/>
      <c r="D21" s="40"/>
      <c r="E21" s="40"/>
      <c r="F21" s="40"/>
      <c r="G21" s="40"/>
      <c r="H21" s="40"/>
      <c r="I21" s="40"/>
      <c r="J21" s="40"/>
      <c r="K21" s="40"/>
      <c r="L21" s="40"/>
      <c r="M21" s="40"/>
      <c r="N21" s="40"/>
      <c r="O21" s="40"/>
      <c r="P21" s="40"/>
      <c r="Q21" s="40"/>
      <c r="R21" s="504"/>
      <c r="S21" s="40"/>
      <c r="T21" s="40"/>
      <c r="U21" s="40"/>
      <c r="V21" s="40"/>
      <c r="W21" s="40"/>
      <c r="X21" s="40"/>
      <c r="Y21" s="40"/>
      <c r="Z21" s="40"/>
      <c r="AA21" s="40"/>
    </row>
    <row r="22" spans="1:27" x14ac:dyDescent="0.2">
      <c r="A22" s="510"/>
      <c r="B22" s="198"/>
      <c r="C22" s="199"/>
      <c r="D22" s="199"/>
      <c r="E22" s="199"/>
      <c r="F22" s="199"/>
      <c r="G22" s="199"/>
      <c r="H22" s="199"/>
      <c r="I22" s="199"/>
      <c r="J22" s="199"/>
      <c r="K22" s="199"/>
      <c r="L22" s="199"/>
      <c r="M22" s="199"/>
      <c r="N22" s="199"/>
      <c r="O22" s="199"/>
      <c r="P22" s="199"/>
      <c r="Q22" s="199"/>
      <c r="R22" s="199"/>
      <c r="S22" s="199"/>
      <c r="T22" s="199"/>
      <c r="U22" s="199"/>
      <c r="V22" s="199"/>
      <c r="W22" s="200"/>
      <c r="X22" s="40"/>
      <c r="Y22" s="40"/>
      <c r="Z22" s="40"/>
      <c r="AA22" s="40"/>
    </row>
    <row r="23" spans="1:27" x14ac:dyDescent="0.2">
      <c r="A23" s="510"/>
      <c r="B23" s="201"/>
      <c r="C23" s="64"/>
      <c r="D23" s="64"/>
      <c r="E23" s="64"/>
      <c r="F23" s="64"/>
      <c r="G23" s="64"/>
      <c r="H23" s="64"/>
      <c r="I23" s="64"/>
      <c r="J23" s="64"/>
      <c r="K23" s="64"/>
      <c r="L23" s="64"/>
      <c r="M23" s="64"/>
      <c r="N23" s="64"/>
      <c r="O23" s="64"/>
      <c r="P23" s="64"/>
      <c r="Q23" s="64"/>
      <c r="R23" s="64"/>
      <c r="S23" s="64"/>
      <c r="T23" s="64"/>
      <c r="U23" s="64"/>
      <c r="V23" s="64"/>
      <c r="W23" s="202"/>
      <c r="X23" s="40"/>
      <c r="Y23" s="40"/>
      <c r="Z23" s="40"/>
      <c r="AA23" s="40"/>
    </row>
    <row r="24" spans="1:27" ht="16" thickBot="1" x14ac:dyDescent="0.25">
      <c r="A24" s="510"/>
      <c r="B24" s="201"/>
      <c r="C24" s="65"/>
      <c r="D24" s="205" t="s">
        <v>527</v>
      </c>
      <c r="E24" s="65"/>
      <c r="F24" s="65"/>
      <c r="G24" s="65"/>
      <c r="H24" s="65"/>
      <c r="I24" s="65"/>
      <c r="J24" s="65"/>
      <c r="K24" s="65"/>
      <c r="L24" s="65"/>
      <c r="M24" s="65"/>
      <c r="N24" s="65"/>
      <c r="O24" s="65"/>
      <c r="P24" s="65"/>
      <c r="Q24" s="65"/>
      <c r="R24" s="64"/>
      <c r="S24" s="64"/>
      <c r="T24" s="64" t="s">
        <v>531</v>
      </c>
      <c r="U24" s="64"/>
      <c r="V24" s="64"/>
      <c r="W24" s="202"/>
      <c r="X24" s="40"/>
      <c r="Y24" s="40"/>
      <c r="Z24" s="40"/>
      <c r="AA24" s="40"/>
    </row>
    <row r="25" spans="1:27" ht="16" thickBot="1" x14ac:dyDescent="0.25">
      <c r="A25" s="510"/>
      <c r="B25" s="201"/>
      <c r="C25" s="65"/>
      <c r="D25" s="65"/>
      <c r="E25" s="65"/>
      <c r="F25" s="65"/>
      <c r="G25" s="65"/>
      <c r="H25" s="65"/>
      <c r="I25" s="65"/>
      <c r="J25" s="65"/>
      <c r="K25" s="65"/>
      <c r="L25" s="65"/>
      <c r="M25" s="65"/>
      <c r="N25" s="65"/>
      <c r="O25" s="65"/>
      <c r="P25" s="65"/>
      <c r="Q25" s="65"/>
      <c r="R25" s="64"/>
      <c r="S25" s="64"/>
      <c r="T25" s="891" t="s">
        <v>535</v>
      </c>
      <c r="U25" s="892"/>
      <c r="V25" s="893"/>
      <c r="W25" s="202"/>
      <c r="X25" s="40"/>
      <c r="Y25" s="40"/>
      <c r="Z25" s="40"/>
      <c r="AA25" s="40"/>
    </row>
    <row r="26" spans="1:27" ht="16" thickBot="1" x14ac:dyDescent="0.25">
      <c r="A26" s="510"/>
      <c r="B26" s="201"/>
      <c r="C26" s="511"/>
      <c r="D26" s="512"/>
      <c r="E26" s="513" t="s">
        <v>519</v>
      </c>
      <c r="F26" s="514"/>
      <c r="G26" s="515"/>
      <c r="H26" s="513" t="s">
        <v>520</v>
      </c>
      <c r="I26" s="514"/>
      <c r="J26" s="516"/>
      <c r="K26" s="513" t="s">
        <v>521</v>
      </c>
      <c r="L26" s="517"/>
      <c r="M26" s="908" t="s">
        <v>522</v>
      </c>
      <c r="N26" s="909"/>
      <c r="O26" s="910"/>
      <c r="P26" s="518"/>
      <c r="Q26" s="513" t="s">
        <v>528</v>
      </c>
      <c r="R26" s="519"/>
      <c r="S26" s="64"/>
      <c r="T26" s="64"/>
      <c r="U26" s="64"/>
      <c r="V26" s="64"/>
      <c r="W26" s="202"/>
      <c r="X26" s="40"/>
      <c r="Y26" s="40"/>
      <c r="Z26" s="40"/>
      <c r="AA26" s="40"/>
    </row>
    <row r="27" spans="1:27" x14ac:dyDescent="0.2">
      <c r="A27" s="510"/>
      <c r="B27" s="201"/>
      <c r="C27" s="538" t="s">
        <v>525</v>
      </c>
      <c r="D27" s="897">
        <f>$L$5</f>
        <v>0.5</v>
      </c>
      <c r="E27" s="898"/>
      <c r="F27" s="899"/>
      <c r="G27" s="897">
        <f>$L$5</f>
        <v>0.5</v>
      </c>
      <c r="H27" s="898"/>
      <c r="I27" s="899"/>
      <c r="J27" s="897">
        <f>$L$5</f>
        <v>0.5</v>
      </c>
      <c r="K27" s="898"/>
      <c r="L27" s="899"/>
      <c r="M27" s="897">
        <f>$L$5</f>
        <v>0.5</v>
      </c>
      <c r="N27" s="898"/>
      <c r="O27" s="899"/>
      <c r="P27" s="897">
        <f>$L$5</f>
        <v>0.5</v>
      </c>
      <c r="Q27" s="898"/>
      <c r="R27" s="899"/>
      <c r="S27" s="64"/>
      <c r="T27" s="64"/>
      <c r="U27" s="64"/>
      <c r="V27" s="64"/>
      <c r="W27" s="202"/>
      <c r="X27" s="40"/>
      <c r="Y27" s="40"/>
      <c r="Z27" s="40"/>
      <c r="AA27" s="40"/>
    </row>
    <row r="28" spans="1:27" x14ac:dyDescent="0.2">
      <c r="A28" s="510"/>
      <c r="B28" s="201"/>
      <c r="C28" s="508" t="s">
        <v>284</v>
      </c>
      <c r="D28" s="897">
        <f>IF(T25="MCI/Mild AD",0.91,0.79)</f>
        <v>0.91</v>
      </c>
      <c r="E28" s="898"/>
      <c r="F28" s="899"/>
      <c r="G28" s="897">
        <f>IF(T25="AD",0.805,IF(T25="VaD",0.75,IF(T25="DLB",0.852,IF(T25="FTD",0.73,0.946))))</f>
        <v>0.94599999999999995</v>
      </c>
      <c r="H28" s="898"/>
      <c r="I28" s="899"/>
      <c r="J28" s="897">
        <v>0.86699999999999999</v>
      </c>
      <c r="K28" s="898"/>
      <c r="L28" s="899"/>
      <c r="M28" s="897">
        <f>IF(T25="MCI/Mild AD",0.96,IF(T25="AD",0.96,0.69))</f>
        <v>0.96</v>
      </c>
      <c r="N28" s="898"/>
      <c r="O28" s="899"/>
      <c r="P28" s="897">
        <f>IF(T25="MCI/Mild AD",0.98,0.77)</f>
        <v>0.98</v>
      </c>
      <c r="Q28" s="898"/>
      <c r="R28" s="899"/>
      <c r="S28" s="64"/>
      <c r="T28" s="64"/>
      <c r="U28" s="64"/>
      <c r="V28" s="64"/>
      <c r="W28" s="202"/>
      <c r="X28" s="40"/>
      <c r="Y28" s="40"/>
      <c r="Z28" s="40"/>
      <c r="AA28" s="40"/>
    </row>
    <row r="29" spans="1:27" ht="16" thickBot="1" x14ac:dyDescent="0.25">
      <c r="A29" s="510"/>
      <c r="B29" s="201"/>
      <c r="C29" s="508" t="s">
        <v>523</v>
      </c>
      <c r="D29" s="900">
        <v>0.78</v>
      </c>
      <c r="E29" s="901"/>
      <c r="F29" s="902"/>
      <c r="G29" s="900">
        <v>0.5</v>
      </c>
      <c r="H29" s="901"/>
      <c r="I29" s="902"/>
      <c r="J29" s="900">
        <f>(1+0.6)/2</f>
        <v>0.8</v>
      </c>
      <c r="K29" s="901"/>
      <c r="L29" s="902"/>
      <c r="M29" s="900">
        <f>(0.88+0.71)/2</f>
        <v>0.79499999999999993</v>
      </c>
      <c r="N29" s="901"/>
      <c r="O29" s="902"/>
      <c r="P29" s="900">
        <v>0.5</v>
      </c>
      <c r="Q29" s="901"/>
      <c r="R29" s="902"/>
      <c r="S29" s="64"/>
      <c r="T29" s="64"/>
      <c r="U29" s="64"/>
      <c r="V29" s="64"/>
      <c r="W29" s="202"/>
      <c r="X29" s="40"/>
      <c r="Y29" s="40"/>
      <c r="Z29" s="40"/>
      <c r="AA29" s="40"/>
    </row>
    <row r="30" spans="1:27" ht="16" thickBot="1" x14ac:dyDescent="0.25">
      <c r="A30" s="510"/>
      <c r="B30" s="201"/>
      <c r="C30" s="520" t="s">
        <v>524</v>
      </c>
      <c r="D30" s="903">
        <f>(D29*D27)/((D29*D27)+((1-D28)*(1-D27)))</f>
        <v>0.89655172413793105</v>
      </c>
      <c r="E30" s="904"/>
      <c r="F30" s="905"/>
      <c r="G30" s="903">
        <f>(G29*G27)/((G29*G27)+((1-G28)*(1-G27)))</f>
        <v>0.90252707581227432</v>
      </c>
      <c r="H30" s="904"/>
      <c r="I30" s="905"/>
      <c r="J30" s="903">
        <f>(J29*J27)/((J29*J27)+((1-J28)*(1-J27)))</f>
        <v>0.857449088960343</v>
      </c>
      <c r="K30" s="904"/>
      <c r="L30" s="905"/>
      <c r="M30" s="903">
        <f>(M29*M27)/((M29*M27)+((1-M28)*(1-M27)))</f>
        <v>0.95209580838323349</v>
      </c>
      <c r="N30" s="904"/>
      <c r="O30" s="905"/>
      <c r="P30" s="903">
        <f>(P29*P27)/((P29*P27)+((1-P28)*(1-P27)))</f>
        <v>0.96153846153846145</v>
      </c>
      <c r="Q30" s="904"/>
      <c r="R30" s="905"/>
      <c r="S30" s="64"/>
      <c r="T30" s="64"/>
      <c r="U30" s="64"/>
      <c r="V30" s="64"/>
      <c r="W30" s="202"/>
      <c r="X30" s="40"/>
      <c r="Y30" s="40"/>
      <c r="Z30" s="40"/>
      <c r="AA30" s="40"/>
    </row>
    <row r="31" spans="1:27" ht="16" thickBot="1" x14ac:dyDescent="0.25">
      <c r="A31" s="510"/>
      <c r="B31" s="201"/>
      <c r="C31" s="509" t="s">
        <v>526</v>
      </c>
      <c r="D31" s="894">
        <f>(D28*(1-D27))/(((1-D29)*D27)+(D28*(1-D27)))</f>
        <v>0.80530973451327448</v>
      </c>
      <c r="E31" s="895"/>
      <c r="F31" s="896"/>
      <c r="G31" s="894">
        <f>(G28*(1-G27))/(((1-G29)*G27)+(G28*(1-G27)))</f>
        <v>0.65421853388658369</v>
      </c>
      <c r="H31" s="895"/>
      <c r="I31" s="896"/>
      <c r="J31" s="894">
        <f>(J28*(1-J27))/(((1-J29)*J27)+(J28*(1-J27)))</f>
        <v>0.8125585754451734</v>
      </c>
      <c r="K31" s="895"/>
      <c r="L31" s="896"/>
      <c r="M31" s="894">
        <f>(M28*(1-M27))/(((1-M29)*M27)+(M28*(1-M27)))</f>
        <v>0.82403433476394849</v>
      </c>
      <c r="N31" s="895"/>
      <c r="O31" s="896"/>
      <c r="P31" s="894">
        <f>(P28*(1-P27))/(((1-P29)*P27)+(P28*(1-P27)))</f>
        <v>0.66216216216216217</v>
      </c>
      <c r="Q31" s="895"/>
      <c r="R31" s="896"/>
      <c r="S31" s="64"/>
      <c r="T31" s="64"/>
      <c r="U31" s="64"/>
      <c r="V31" s="64"/>
      <c r="W31" s="202"/>
      <c r="X31" s="40"/>
      <c r="Y31" s="40"/>
      <c r="Z31" s="40"/>
      <c r="AA31" s="40"/>
    </row>
    <row r="32" spans="1:27" x14ac:dyDescent="0.2">
      <c r="A32" s="510"/>
      <c r="B32" s="201"/>
      <c r="C32" s="528" t="s">
        <v>540</v>
      </c>
      <c r="D32" s="438"/>
      <c r="E32" s="528" t="s">
        <v>306</v>
      </c>
      <c r="F32" s="528"/>
      <c r="G32" s="528"/>
      <c r="H32" s="528" t="s">
        <v>536</v>
      </c>
      <c r="I32" s="528"/>
      <c r="J32" s="528"/>
      <c r="K32" s="528" t="s">
        <v>537</v>
      </c>
      <c r="L32" s="528"/>
      <c r="M32" s="528"/>
      <c r="N32" s="528" t="s">
        <v>539</v>
      </c>
      <c r="O32" s="528"/>
      <c r="P32" s="528"/>
      <c r="Q32" s="528" t="s">
        <v>545</v>
      </c>
      <c r="R32" s="528"/>
      <c r="S32" s="64"/>
      <c r="T32" s="64"/>
      <c r="U32" s="64"/>
      <c r="V32" s="64"/>
      <c r="W32" s="202"/>
      <c r="X32" s="40"/>
      <c r="Y32" s="40"/>
      <c r="Z32" s="40"/>
      <c r="AA32" s="40"/>
    </row>
    <row r="33" spans="1:27" x14ac:dyDescent="0.2">
      <c r="A33" s="510"/>
      <c r="B33" s="201"/>
      <c r="C33" s="528"/>
      <c r="D33" s="438"/>
      <c r="E33" s="528" t="s">
        <v>307</v>
      </c>
      <c r="F33" s="528"/>
      <c r="G33" s="528"/>
      <c r="H33" s="528"/>
      <c r="I33" s="528"/>
      <c r="J33" s="528"/>
      <c r="K33" s="528"/>
      <c r="L33" s="528"/>
      <c r="M33" s="528"/>
      <c r="N33" s="528"/>
      <c r="O33" s="528"/>
      <c r="P33" s="528"/>
      <c r="Q33" s="528" t="s">
        <v>546</v>
      </c>
      <c r="R33" s="528"/>
      <c r="S33" s="64"/>
      <c r="T33" s="64"/>
      <c r="U33" s="64"/>
      <c r="V33" s="64"/>
      <c r="W33" s="202"/>
      <c r="X33" s="40"/>
      <c r="Y33" s="40"/>
      <c r="Z33" s="40"/>
      <c r="AA33" s="40"/>
    </row>
    <row r="34" spans="1:27" x14ac:dyDescent="0.2">
      <c r="A34" s="510"/>
      <c r="B34" s="201"/>
      <c r="C34" s="528" t="s">
        <v>541</v>
      </c>
      <c r="D34" s="438"/>
      <c r="E34" s="528" t="s">
        <v>542</v>
      </c>
      <c r="F34" s="528"/>
      <c r="G34" s="528"/>
      <c r="H34" s="528" t="s">
        <v>543</v>
      </c>
      <c r="I34" s="528"/>
      <c r="J34" s="528"/>
      <c r="K34" s="528" t="s">
        <v>544</v>
      </c>
      <c r="L34" s="528"/>
      <c r="M34" s="528"/>
      <c r="N34" s="528" t="s">
        <v>547</v>
      </c>
      <c r="O34" s="528"/>
      <c r="P34" s="528"/>
      <c r="Q34" s="528" t="s">
        <v>543</v>
      </c>
      <c r="R34" s="528"/>
      <c r="S34" s="64"/>
      <c r="T34" s="64"/>
      <c r="U34" s="64"/>
      <c r="V34" s="64"/>
      <c r="W34" s="202"/>
      <c r="X34" s="40"/>
      <c r="Y34" s="40"/>
      <c r="Z34" s="40"/>
      <c r="AA34" s="40"/>
    </row>
    <row r="35" spans="1:27" x14ac:dyDescent="0.2">
      <c r="A35" s="510"/>
      <c r="B35" s="201"/>
      <c r="C35" s="65"/>
      <c r="D35" s="64"/>
      <c r="E35" s="65"/>
      <c r="F35" s="65"/>
      <c r="G35" s="65"/>
      <c r="H35" s="65"/>
      <c r="I35" s="65"/>
      <c r="J35" s="65"/>
      <c r="K35" s="65"/>
      <c r="L35" s="65"/>
      <c r="M35" s="65"/>
      <c r="N35" s="65"/>
      <c r="O35" s="65"/>
      <c r="P35" s="65"/>
      <c r="Q35" s="65"/>
      <c r="R35" s="65"/>
      <c r="S35" s="64"/>
      <c r="T35" s="64"/>
      <c r="U35" s="64"/>
      <c r="V35" s="64"/>
      <c r="W35" s="202"/>
      <c r="X35" s="40"/>
      <c r="Y35" s="40"/>
      <c r="Z35" s="40"/>
      <c r="AA35" s="40"/>
    </row>
    <row r="36" spans="1:27" x14ac:dyDescent="0.2">
      <c r="A36" s="510"/>
      <c r="B36" s="201"/>
      <c r="C36" s="716" t="s">
        <v>708</v>
      </c>
      <c r="D36" s="64"/>
      <c r="E36" s="65"/>
      <c r="F36" s="65"/>
      <c r="G36" s="64" t="s">
        <v>710</v>
      </c>
      <c r="H36" s="65"/>
      <c r="I36" s="65"/>
      <c r="J36" s="617" t="s">
        <v>714</v>
      </c>
      <c r="K36" s="65"/>
      <c r="L36" s="65"/>
      <c r="M36" s="65"/>
      <c r="N36" s="65"/>
      <c r="O36" s="65"/>
      <c r="P36" s="65"/>
      <c r="Q36" s="65"/>
      <c r="R36" s="65"/>
      <c r="S36" s="64"/>
      <c r="T36" s="64"/>
      <c r="U36" s="64"/>
      <c r="V36" s="64"/>
      <c r="W36" s="202"/>
      <c r="X36" s="40"/>
      <c r="Y36" s="40"/>
      <c r="Z36" s="40"/>
      <c r="AA36" s="40"/>
    </row>
    <row r="37" spans="1:27" ht="16" thickBot="1" x14ac:dyDescent="0.25">
      <c r="A37" s="510"/>
      <c r="B37" s="201"/>
      <c r="C37" s="65"/>
      <c r="D37" s="64"/>
      <c r="E37" s="65"/>
      <c r="F37" s="65"/>
      <c r="G37" s="65"/>
      <c r="H37" s="65"/>
      <c r="I37" s="65"/>
      <c r="J37" s="65"/>
      <c r="K37" s="65"/>
      <c r="L37" s="65"/>
      <c r="M37" s="65"/>
      <c r="N37" s="65"/>
      <c r="O37" s="65"/>
      <c r="P37" s="65"/>
      <c r="Q37" s="65"/>
      <c r="R37" s="65"/>
      <c r="S37" s="64"/>
      <c r="T37" s="64"/>
      <c r="U37" s="64"/>
      <c r="V37" s="64"/>
      <c r="W37" s="202"/>
      <c r="X37" s="40"/>
      <c r="Y37" s="40"/>
      <c r="Z37" s="40"/>
      <c r="AA37" s="40"/>
    </row>
    <row r="38" spans="1:27" ht="16" thickBot="1" x14ac:dyDescent="0.25">
      <c r="A38" s="510"/>
      <c r="B38" s="201"/>
      <c r="C38" s="65" t="s">
        <v>134</v>
      </c>
      <c r="D38" s="64"/>
      <c r="E38" s="521" t="s">
        <v>529</v>
      </c>
      <c r="F38" s="65"/>
      <c r="G38" s="65"/>
      <c r="H38" s="521" t="s">
        <v>529</v>
      </c>
      <c r="I38" s="65"/>
      <c r="J38" s="65"/>
      <c r="K38" s="521" t="s">
        <v>43</v>
      </c>
      <c r="L38" s="65"/>
      <c r="M38" s="65"/>
      <c r="N38" s="521" t="s">
        <v>529</v>
      </c>
      <c r="O38" s="65"/>
      <c r="P38" s="65"/>
      <c r="Q38" s="521" t="s">
        <v>43</v>
      </c>
      <c r="R38" s="65"/>
      <c r="S38" s="64"/>
      <c r="T38" s="64"/>
      <c r="U38" s="64"/>
      <c r="V38" s="64"/>
      <c r="W38" s="202"/>
      <c r="X38" s="40"/>
      <c r="Y38" s="40"/>
      <c r="Z38" s="40"/>
      <c r="AA38" s="40"/>
    </row>
    <row r="39" spans="1:27" x14ac:dyDescent="0.2">
      <c r="A39" s="510"/>
      <c r="B39" s="201"/>
      <c r="C39" s="65" t="s">
        <v>538</v>
      </c>
      <c r="D39" s="65"/>
      <c r="E39" s="65"/>
      <c r="F39" s="65"/>
      <c r="G39" s="65"/>
      <c r="H39" s="65"/>
      <c r="I39" s="65"/>
      <c r="J39" s="65"/>
      <c r="K39" s="65"/>
      <c r="L39" s="65"/>
      <c r="M39" s="65"/>
      <c r="N39" s="65"/>
      <c r="O39" s="65"/>
      <c r="P39" s="65"/>
      <c r="Q39" s="65"/>
      <c r="R39" s="64"/>
      <c r="S39" s="64"/>
      <c r="T39" s="64" t="s">
        <v>549</v>
      </c>
      <c r="U39" s="64"/>
      <c r="V39" s="64"/>
      <c r="W39" s="202"/>
      <c r="X39" s="40"/>
      <c r="Y39" s="40"/>
      <c r="Z39" s="40"/>
      <c r="AA39" s="40"/>
    </row>
    <row r="40" spans="1:27" x14ac:dyDescent="0.2">
      <c r="A40" s="510"/>
      <c r="B40" s="201"/>
      <c r="C40" s="65"/>
      <c r="D40" s="65"/>
      <c r="E40" s="65"/>
      <c r="F40" s="65"/>
      <c r="G40" s="65"/>
      <c r="H40" s="65"/>
      <c r="I40" s="65"/>
      <c r="J40" s="65"/>
      <c r="K40" s="65"/>
      <c r="L40" s="65"/>
      <c r="M40" s="65"/>
      <c r="N40" s="65"/>
      <c r="O40" s="65"/>
      <c r="P40" s="65"/>
      <c r="Q40" s="65"/>
      <c r="R40" s="64"/>
      <c r="S40" s="64"/>
      <c r="T40" s="64"/>
      <c r="U40" s="64"/>
      <c r="V40" s="64"/>
      <c r="W40" s="202"/>
      <c r="X40" s="40"/>
      <c r="Y40" s="40"/>
      <c r="Z40" s="40"/>
      <c r="AA40" s="40"/>
    </row>
    <row r="41" spans="1:27" x14ac:dyDescent="0.2">
      <c r="A41" s="510"/>
      <c r="B41" s="201"/>
      <c r="C41" s="522" t="s">
        <v>548</v>
      </c>
      <c r="D41" s="523"/>
      <c r="E41" s="523"/>
      <c r="F41" s="523"/>
      <c r="G41" s="523"/>
      <c r="H41" s="523"/>
      <c r="I41" s="523"/>
      <c r="J41" s="523"/>
      <c r="K41" s="523"/>
      <c r="L41" s="523"/>
      <c r="M41" s="523"/>
      <c r="N41" s="523"/>
      <c r="O41" s="523"/>
      <c r="P41" s="523"/>
      <c r="Q41" s="523"/>
      <c r="R41" s="524"/>
      <c r="S41" s="524"/>
      <c r="T41" s="524"/>
      <c r="U41" s="64"/>
      <c r="V41" s="64"/>
      <c r="W41" s="202"/>
      <c r="X41" s="40"/>
      <c r="Y41" s="40"/>
      <c r="Z41" s="40"/>
      <c r="AA41" s="40"/>
    </row>
    <row r="42" spans="1:27" x14ac:dyDescent="0.2">
      <c r="A42" s="510"/>
      <c r="B42" s="201"/>
      <c r="C42" s="525" t="s">
        <v>550</v>
      </c>
      <c r="D42" s="526"/>
      <c r="E42" s="526">
        <f>IF(E38="Fail",D29/(1-D28),1)</f>
        <v>8.6666666666666696</v>
      </c>
      <c r="F42" s="526" t="s">
        <v>552</v>
      </c>
      <c r="G42" s="526"/>
      <c r="H42" s="526">
        <f>IF(H38="Fail",G29/(1-G28),1)</f>
        <v>9.2592592592592506</v>
      </c>
      <c r="I42" s="526" t="s">
        <v>552</v>
      </c>
      <c r="J42" s="526"/>
      <c r="K42" s="526">
        <f>IF(K38="Fail",J29/(1-J28),1)</f>
        <v>1</v>
      </c>
      <c r="L42" s="526" t="s">
        <v>552</v>
      </c>
      <c r="M42" s="526"/>
      <c r="N42" s="526">
        <f>IF(N38="Fail",M29/(1-M28),1)</f>
        <v>19.874999999999982</v>
      </c>
      <c r="O42" s="526" t="s">
        <v>552</v>
      </c>
      <c r="P42" s="526"/>
      <c r="Q42" s="526">
        <f>IF(Q38="Fail",P29/(1-P28),1)</f>
        <v>1</v>
      </c>
      <c r="R42" s="527"/>
      <c r="S42" s="527" t="s">
        <v>552</v>
      </c>
      <c r="T42" s="527">
        <f>L5/(1-L5)</f>
        <v>1</v>
      </c>
      <c r="U42" s="64"/>
      <c r="V42" s="64"/>
      <c r="W42" s="202"/>
      <c r="X42" s="40"/>
      <c r="Y42" s="40"/>
      <c r="Z42" s="40"/>
      <c r="AA42" s="40"/>
    </row>
    <row r="43" spans="1:27" x14ac:dyDescent="0.2">
      <c r="A43" s="510"/>
      <c r="B43" s="201"/>
      <c r="C43" s="525" t="s">
        <v>551</v>
      </c>
      <c r="D43" s="523" t="s">
        <v>553</v>
      </c>
      <c r="E43" s="523">
        <f>IF(E38="Fail",D29/(1-D28),1)</f>
        <v>8.6666666666666696</v>
      </c>
      <c r="F43" s="523" t="s">
        <v>552</v>
      </c>
      <c r="G43" s="523"/>
      <c r="H43" s="523">
        <f>IF(H38="Fail",G29/(1-G28),1)</f>
        <v>9.2592592592592506</v>
      </c>
      <c r="I43" s="523" t="s">
        <v>552</v>
      </c>
      <c r="J43" s="523"/>
      <c r="K43" s="523">
        <f>IF(K38="Fail",J29/(1-J28),1)</f>
        <v>1</v>
      </c>
      <c r="L43" s="523" t="s">
        <v>552</v>
      </c>
      <c r="M43" s="523"/>
      <c r="N43" s="523">
        <f>IF(N38="Fail",M29/(1-M28),1)</f>
        <v>19.874999999999982</v>
      </c>
      <c r="O43" s="523" t="s">
        <v>552</v>
      </c>
      <c r="P43" s="523"/>
      <c r="Q43" s="523">
        <f>IF(Q38="Fail",P29/(1-P28),1)</f>
        <v>1</v>
      </c>
      <c r="R43" s="524"/>
      <c r="S43" s="524" t="s">
        <v>552</v>
      </c>
      <c r="T43" s="524">
        <f>L5/(1-L5)</f>
        <v>1</v>
      </c>
      <c r="U43" s="524" t="s">
        <v>554</v>
      </c>
      <c r="V43" s="64"/>
      <c r="W43" s="202"/>
      <c r="X43" s="40"/>
      <c r="Y43" s="40"/>
      <c r="Z43" s="40"/>
      <c r="AA43" s="40"/>
    </row>
    <row r="44" spans="1:27" x14ac:dyDescent="0.2">
      <c r="A44" s="510"/>
      <c r="B44" s="201"/>
      <c r="C44" s="64"/>
      <c r="D44" s="64"/>
      <c r="E44" s="64"/>
      <c r="F44" s="64"/>
      <c r="G44" s="64"/>
      <c r="H44" s="64"/>
      <c r="I44" s="64"/>
      <c r="J44" s="64"/>
      <c r="K44" s="64"/>
      <c r="L44" s="64"/>
      <c r="M44" s="64"/>
      <c r="N44" s="64"/>
      <c r="O44" s="64"/>
      <c r="P44" s="64"/>
      <c r="Q44" s="64"/>
      <c r="R44" s="64"/>
      <c r="S44" s="64"/>
      <c r="T44" s="64"/>
      <c r="U44" s="64"/>
      <c r="V44" s="64"/>
      <c r="W44" s="202"/>
      <c r="X44" s="40"/>
      <c r="Y44" s="40"/>
      <c r="Z44" s="40"/>
      <c r="AA44" s="40"/>
    </row>
    <row r="45" spans="1:27" ht="16" thickBot="1" x14ac:dyDescent="0.25">
      <c r="A45" s="510"/>
      <c r="B45" s="201"/>
      <c r="C45" s="64"/>
      <c r="D45" s="64"/>
      <c r="E45" s="64"/>
      <c r="F45" s="64"/>
      <c r="G45" s="64"/>
      <c r="H45" s="64"/>
      <c r="I45" s="64"/>
      <c r="J45" s="64"/>
      <c r="K45" s="64"/>
      <c r="L45" s="64"/>
      <c r="M45" s="64"/>
      <c r="N45" s="64"/>
      <c r="O45" s="64"/>
      <c r="P45" s="64"/>
      <c r="Q45" s="64"/>
      <c r="R45" s="64"/>
      <c r="S45" s="64"/>
      <c r="T45" s="64"/>
      <c r="U45" s="64"/>
      <c r="V45" s="64"/>
      <c r="W45" s="202"/>
      <c r="X45" s="40"/>
      <c r="Y45" s="40"/>
      <c r="Z45" s="40"/>
      <c r="AA45" s="40"/>
    </row>
    <row r="46" spans="1:27" x14ac:dyDescent="0.2">
      <c r="A46" s="510"/>
      <c r="B46" s="201"/>
      <c r="C46" s="529" t="s">
        <v>713</v>
      </c>
      <c r="D46" s="530"/>
      <c r="E46" s="530"/>
      <c r="F46" s="530"/>
      <c r="G46" s="530"/>
      <c r="H46" s="530"/>
      <c r="I46" s="531"/>
      <c r="J46" s="40"/>
      <c r="K46" s="539" t="s">
        <v>716</v>
      </c>
      <c r="L46" s="724"/>
      <c r="M46" s="724"/>
      <c r="N46" s="530"/>
      <c r="O46" s="530"/>
      <c r="P46" s="531"/>
      <c r="Q46" s="64"/>
      <c r="R46" s="64"/>
      <c r="S46" s="64"/>
      <c r="T46" s="64"/>
      <c r="U46" s="64"/>
      <c r="V46" s="64"/>
      <c r="W46" s="202"/>
      <c r="X46" s="40"/>
      <c r="Y46" s="40"/>
      <c r="Z46" s="40"/>
      <c r="AA46" s="40"/>
    </row>
    <row r="47" spans="1:27" x14ac:dyDescent="0.2">
      <c r="A47" s="510"/>
      <c r="B47" s="201"/>
      <c r="C47" s="532"/>
      <c r="D47" s="533"/>
      <c r="E47" s="533"/>
      <c r="F47" s="533"/>
      <c r="G47" s="533"/>
      <c r="H47" s="533"/>
      <c r="I47" s="534"/>
      <c r="J47" s="40"/>
      <c r="K47" s="721" t="s">
        <v>715</v>
      </c>
      <c r="L47" s="725"/>
      <c r="M47" s="725"/>
      <c r="N47" s="533"/>
      <c r="O47" s="533"/>
      <c r="P47" s="534"/>
      <c r="Q47" s="64"/>
      <c r="R47" s="523">
        <f>IF(E38="Fail",(1-D28),1)</f>
        <v>8.9999999999999969E-2</v>
      </c>
      <c r="S47" s="523">
        <f>IF(H38="Fail",(1-G28),1)</f>
        <v>5.4000000000000048E-2</v>
      </c>
      <c r="T47" s="523">
        <f>IF(K38="Fail",(1-J28),1)</f>
        <v>1</v>
      </c>
      <c r="U47" s="523">
        <f>IF(N38="Fail",(1-M28),1)</f>
        <v>4.0000000000000036E-2</v>
      </c>
      <c r="V47" s="523">
        <f>IF(Q38="Fail",(1-P28),1)</f>
        <v>1</v>
      </c>
      <c r="W47" s="202"/>
      <c r="X47" s="40"/>
      <c r="Y47" s="40"/>
      <c r="Z47" s="40"/>
      <c r="AA47" s="40"/>
    </row>
    <row r="48" spans="1:27" x14ac:dyDescent="0.2">
      <c r="A48" s="510"/>
      <c r="B48" s="201"/>
      <c r="C48" s="720" t="s">
        <v>530</v>
      </c>
      <c r="D48" s="533">
        <f>(E42*H42*K42*N42*Q42*T42)/(1+(E43*H43*K43*N43*Q43*T43))</f>
        <v>0.99937339723134411</v>
      </c>
      <c r="E48" s="533"/>
      <c r="F48" s="719">
        <f>D48</f>
        <v>0.99937339723134411</v>
      </c>
      <c r="G48" s="533"/>
      <c r="H48" s="533"/>
      <c r="I48" s="534"/>
      <c r="J48" s="40"/>
      <c r="K48" s="722" t="s">
        <v>717</v>
      </c>
      <c r="L48" s="727">
        <f>R47*S47*T47*U47*V47</f>
        <v>1.9440000000000025E-4</v>
      </c>
      <c r="M48" s="725"/>
      <c r="N48" s="723">
        <f>L48</f>
        <v>1.9440000000000025E-4</v>
      </c>
      <c r="O48" s="906">
        <f>N48</f>
        <v>1.9440000000000025E-4</v>
      </c>
      <c r="P48" s="907"/>
      <c r="Q48" s="64"/>
      <c r="R48" s="64"/>
      <c r="S48" s="64"/>
      <c r="T48" s="64"/>
      <c r="U48" s="64"/>
      <c r="V48" s="64"/>
      <c r="W48" s="202"/>
      <c r="X48" s="40"/>
      <c r="Y48" s="40"/>
      <c r="Z48" s="40"/>
      <c r="AA48" s="40"/>
    </row>
    <row r="49" spans="1:27" ht="16" thickBot="1" x14ac:dyDescent="0.25">
      <c r="A49" s="510"/>
      <c r="B49" s="211"/>
      <c r="C49" s="535"/>
      <c r="D49" s="536"/>
      <c r="E49" s="536"/>
      <c r="F49" s="717"/>
      <c r="G49" s="536"/>
      <c r="H49" s="536"/>
      <c r="I49" s="537"/>
      <c r="J49" s="212"/>
      <c r="K49" s="540"/>
      <c r="L49" s="726"/>
      <c r="M49" s="726"/>
      <c r="N49" s="536"/>
      <c r="O49" s="536"/>
      <c r="P49" s="537"/>
      <c r="Q49" s="212"/>
      <c r="R49" s="212"/>
      <c r="S49" s="212"/>
      <c r="T49" s="212"/>
      <c r="U49" s="212"/>
      <c r="V49" s="212"/>
      <c r="W49" s="213"/>
      <c r="X49" s="40"/>
      <c r="Y49" s="40"/>
      <c r="Z49" s="40"/>
      <c r="AA49" s="40"/>
    </row>
    <row r="50" spans="1:27" x14ac:dyDescent="0.2">
      <c r="A50" s="510"/>
      <c r="B50" s="756"/>
      <c r="C50" s="757"/>
      <c r="D50" s="757"/>
      <c r="E50" s="757"/>
      <c r="F50" s="757"/>
      <c r="G50" s="757"/>
      <c r="H50" s="757"/>
      <c r="I50" s="757"/>
      <c r="J50" s="757"/>
      <c r="K50" s="757"/>
      <c r="L50" s="757"/>
      <c r="M50" s="757"/>
      <c r="N50" s="757"/>
      <c r="O50" s="757"/>
      <c r="P50" s="757"/>
      <c r="Q50" s="757"/>
      <c r="R50" s="757"/>
      <c r="S50" s="757"/>
      <c r="T50" s="757"/>
      <c r="U50" s="757"/>
      <c r="V50" s="757"/>
      <c r="W50" s="758"/>
      <c r="X50" s="40"/>
      <c r="Y50" s="40"/>
      <c r="Z50" s="40"/>
      <c r="AA50" s="40"/>
    </row>
    <row r="51" spans="1:27" x14ac:dyDescent="0.2">
      <c r="A51" s="510"/>
      <c r="B51" s="759"/>
      <c r="C51" s="510"/>
      <c r="D51" s="510"/>
      <c r="E51" s="510"/>
      <c r="F51" s="510"/>
      <c r="G51" s="510"/>
      <c r="H51" s="510"/>
      <c r="I51" s="510"/>
      <c r="J51" s="510"/>
      <c r="K51" s="510"/>
      <c r="L51" s="510"/>
      <c r="M51" s="510"/>
      <c r="N51" s="510"/>
      <c r="O51" s="510"/>
      <c r="P51" s="510"/>
      <c r="Q51" s="510"/>
      <c r="R51" s="510"/>
      <c r="S51" s="510"/>
      <c r="T51" s="510"/>
      <c r="U51" s="510"/>
      <c r="V51" s="510"/>
      <c r="W51" s="760"/>
      <c r="X51" s="40"/>
      <c r="Y51" s="40"/>
      <c r="Z51" s="40"/>
      <c r="AA51" s="40"/>
    </row>
    <row r="52" spans="1:27" x14ac:dyDescent="0.2">
      <c r="A52" s="510"/>
      <c r="B52" s="759"/>
      <c r="C52" s="762" t="s">
        <v>709</v>
      </c>
      <c r="D52" s="524"/>
      <c r="E52" s="524"/>
      <c r="F52" s="524"/>
      <c r="G52" s="524" t="s">
        <v>796</v>
      </c>
      <c r="H52" s="524"/>
      <c r="I52" s="524"/>
      <c r="J52" s="524"/>
      <c r="K52" s="524"/>
      <c r="L52" s="524"/>
      <c r="M52" s="524"/>
      <c r="N52" s="524"/>
      <c r="O52" s="524"/>
      <c r="P52" s="524"/>
      <c r="Q52" s="524"/>
      <c r="R52" s="524"/>
      <c r="S52" s="524"/>
      <c r="T52" s="524"/>
      <c r="U52" s="524"/>
      <c r="V52" s="524"/>
      <c r="W52" s="761"/>
      <c r="X52" s="40"/>
      <c r="Y52" s="40"/>
      <c r="Z52" s="40"/>
      <c r="AA52" s="40"/>
    </row>
    <row r="53" spans="1:27" x14ac:dyDescent="0.2">
      <c r="A53" s="510"/>
      <c r="B53" s="759"/>
      <c r="C53" s="524"/>
      <c r="D53" s="524"/>
      <c r="E53" s="524"/>
      <c r="F53" s="524"/>
      <c r="G53" s="524"/>
      <c r="H53" s="524"/>
      <c r="I53" s="524"/>
      <c r="J53" s="524"/>
      <c r="K53" s="524"/>
      <c r="L53" s="524"/>
      <c r="M53" s="524"/>
      <c r="N53" s="524"/>
      <c r="O53" s="524"/>
      <c r="P53" s="524"/>
      <c r="Q53" s="524"/>
      <c r="R53" s="524"/>
      <c r="S53" s="524"/>
      <c r="T53" s="524"/>
      <c r="U53" s="524"/>
      <c r="V53" s="524"/>
      <c r="W53" s="761"/>
      <c r="X53" s="40"/>
      <c r="Y53" s="40"/>
      <c r="Z53" s="40"/>
      <c r="AA53" s="40"/>
    </row>
    <row r="54" spans="1:27" x14ac:dyDescent="0.2">
      <c r="A54" s="510"/>
      <c r="B54" s="759"/>
      <c r="C54" s="524" t="s">
        <v>776</v>
      </c>
      <c r="D54" s="524"/>
      <c r="E54" s="524"/>
      <c r="F54" s="524"/>
      <c r="G54" s="524"/>
      <c r="H54" s="524"/>
      <c r="I54" s="524"/>
      <c r="J54" s="524"/>
      <c r="K54" s="524"/>
      <c r="L54" s="524"/>
      <c r="M54" s="524"/>
      <c r="N54" s="524"/>
      <c r="O54" s="524"/>
      <c r="P54" s="524"/>
      <c r="Q54" s="524"/>
      <c r="R54" s="524"/>
      <c r="S54" s="524"/>
      <c r="T54" s="524" t="s">
        <v>778</v>
      </c>
      <c r="U54" s="524"/>
      <c r="V54" s="524"/>
      <c r="W54" s="761"/>
      <c r="X54" s="40">
        <f>1-L5</f>
        <v>0.5</v>
      </c>
      <c r="Y54" s="40"/>
      <c r="Z54" s="40"/>
      <c r="AA54" s="40"/>
    </row>
    <row r="55" spans="1:27" x14ac:dyDescent="0.2">
      <c r="A55" s="510"/>
      <c r="B55" s="759"/>
      <c r="C55" s="522" t="s">
        <v>548</v>
      </c>
      <c r="D55" s="524"/>
      <c r="E55" s="524"/>
      <c r="F55" s="524"/>
      <c r="G55" s="524"/>
      <c r="H55" s="524"/>
      <c r="I55" s="524"/>
      <c r="J55" s="524"/>
      <c r="K55" s="524"/>
      <c r="L55" s="524"/>
      <c r="M55" s="524"/>
      <c r="N55" s="524"/>
      <c r="O55" s="524"/>
      <c r="P55" s="524"/>
      <c r="Q55" s="524"/>
      <c r="R55" s="524"/>
      <c r="S55" s="524"/>
      <c r="T55" s="524"/>
      <c r="U55" s="524"/>
      <c r="V55" s="524"/>
      <c r="W55" s="761"/>
      <c r="X55" s="40"/>
      <c r="Y55" s="40"/>
      <c r="Z55" s="40"/>
      <c r="AA55" s="40"/>
    </row>
    <row r="56" spans="1:27" x14ac:dyDescent="0.2">
      <c r="A56" s="510"/>
      <c r="B56" s="759"/>
      <c r="C56" s="525" t="s">
        <v>550</v>
      </c>
      <c r="D56" s="527"/>
      <c r="E56" s="527">
        <f>IF(E38="Pass",(D28)/(1-D29),1)</f>
        <v>1</v>
      </c>
      <c r="F56" s="526" t="s">
        <v>552</v>
      </c>
      <c r="G56" s="527"/>
      <c r="H56" s="527">
        <f>IF(H38="Pass",(G28)/(1-G29),1)</f>
        <v>1</v>
      </c>
      <c r="I56" s="526" t="s">
        <v>552</v>
      </c>
      <c r="J56" s="527"/>
      <c r="K56" s="527">
        <f>IF(K38="Pass",(J28)/(1-J29),1)</f>
        <v>1</v>
      </c>
      <c r="L56" s="526" t="s">
        <v>552</v>
      </c>
      <c r="M56" s="527"/>
      <c r="N56" s="527">
        <f>IF(N38="Pass",(M28)/(1-M29),1)</f>
        <v>1</v>
      </c>
      <c r="O56" s="526" t="s">
        <v>552</v>
      </c>
      <c r="P56" s="527"/>
      <c r="Q56" s="527">
        <f>IF(Q38="Pass",(P28)/(1-P29),1)</f>
        <v>1</v>
      </c>
      <c r="R56" s="527"/>
      <c r="S56" s="527" t="s">
        <v>552</v>
      </c>
      <c r="T56" s="527">
        <f>X54/(1-X54)</f>
        <v>1</v>
      </c>
      <c r="U56" s="524" t="s">
        <v>779</v>
      </c>
      <c r="V56" s="524"/>
      <c r="W56" s="761"/>
      <c r="X56" s="40"/>
      <c r="Y56" s="40"/>
      <c r="Z56" s="40"/>
      <c r="AA56" s="40"/>
    </row>
    <row r="57" spans="1:27" x14ac:dyDescent="0.2">
      <c r="A57" s="510"/>
      <c r="B57" s="759"/>
      <c r="C57" s="525" t="s">
        <v>551</v>
      </c>
      <c r="D57" s="524" t="s">
        <v>553</v>
      </c>
      <c r="E57" s="524">
        <f>IF(E38="Pass",(D28)/(1-D29),1)</f>
        <v>1</v>
      </c>
      <c r="F57" s="523" t="s">
        <v>552</v>
      </c>
      <c r="G57" s="524"/>
      <c r="H57" s="524">
        <f>IF(H38="Pass",(G28)/(1-G29),1)</f>
        <v>1</v>
      </c>
      <c r="I57" s="523" t="s">
        <v>552</v>
      </c>
      <c r="J57" s="524"/>
      <c r="K57" s="524">
        <f>IF(K38="Pass",(J28)/(1-J29),1)</f>
        <v>1</v>
      </c>
      <c r="L57" s="523" t="s">
        <v>552</v>
      </c>
      <c r="M57" s="524"/>
      <c r="N57" s="524">
        <f>IF(N38="Pass",(M28)/(1-M29),1)</f>
        <v>1</v>
      </c>
      <c r="O57" s="523" t="s">
        <v>552</v>
      </c>
      <c r="P57" s="524"/>
      <c r="Q57" s="524">
        <f>IF(Q38="Pass",(P28)/(1-P29),1)</f>
        <v>1</v>
      </c>
      <c r="R57" s="524"/>
      <c r="S57" s="524" t="s">
        <v>552</v>
      </c>
      <c r="T57" s="527">
        <f>X54/(1-X54)</f>
        <v>1</v>
      </c>
      <c r="U57" s="524" t="s">
        <v>779</v>
      </c>
      <c r="V57" s="524"/>
      <c r="W57" s="761"/>
      <c r="X57" s="40"/>
      <c r="Y57" s="40"/>
      <c r="Z57" s="40"/>
      <c r="AA57" s="40"/>
    </row>
    <row r="58" spans="1:27" x14ac:dyDescent="0.2">
      <c r="A58" s="510"/>
      <c r="B58" s="759"/>
      <c r="C58" s="524"/>
      <c r="D58" s="524"/>
      <c r="E58" s="524"/>
      <c r="F58" s="524"/>
      <c r="G58" s="524"/>
      <c r="H58" s="524"/>
      <c r="I58" s="524"/>
      <c r="J58" s="524"/>
      <c r="K58" s="524"/>
      <c r="L58" s="524"/>
      <c r="M58" s="524"/>
      <c r="N58" s="524"/>
      <c r="O58" s="524"/>
      <c r="P58" s="524"/>
      <c r="Q58" s="524"/>
      <c r="R58" s="524"/>
      <c r="S58" s="524"/>
      <c r="T58" s="524"/>
      <c r="U58" s="524"/>
      <c r="V58" s="524"/>
      <c r="W58" s="761"/>
      <c r="X58" s="40"/>
      <c r="Y58" s="40"/>
      <c r="Z58" s="40"/>
      <c r="AA58" s="40"/>
    </row>
    <row r="59" spans="1:27" ht="16" thickBot="1" x14ac:dyDescent="0.25">
      <c r="A59" s="40"/>
      <c r="B59" s="759"/>
      <c r="C59" s="524"/>
      <c r="D59" s="524"/>
      <c r="E59" s="524"/>
      <c r="F59" s="524"/>
      <c r="G59" s="524"/>
      <c r="H59" s="524"/>
      <c r="I59" s="524"/>
      <c r="J59" s="524"/>
      <c r="K59" s="524"/>
      <c r="L59" s="524"/>
      <c r="M59" s="524"/>
      <c r="N59" s="524"/>
      <c r="O59" s="524"/>
      <c r="P59" s="524"/>
      <c r="Q59" s="524"/>
      <c r="R59" s="524"/>
      <c r="S59" s="524"/>
      <c r="T59" s="524"/>
      <c r="U59" s="524"/>
      <c r="V59" s="524"/>
      <c r="W59" s="761"/>
      <c r="X59" s="40"/>
      <c r="Y59" s="40"/>
      <c r="Z59" s="40"/>
      <c r="AA59" s="40"/>
    </row>
    <row r="60" spans="1:27" x14ac:dyDescent="0.2">
      <c r="A60" s="40"/>
      <c r="B60" s="759"/>
      <c r="C60" s="763" t="s">
        <v>777</v>
      </c>
      <c r="D60" s="764"/>
      <c r="E60" s="764"/>
      <c r="F60" s="764"/>
      <c r="G60" s="764"/>
      <c r="H60" s="764"/>
      <c r="I60" s="765"/>
      <c r="J60" s="524"/>
      <c r="K60" s="524"/>
      <c r="L60" s="524"/>
      <c r="M60" s="524"/>
      <c r="N60" s="524"/>
      <c r="O60" s="524"/>
      <c r="P60" s="524"/>
      <c r="Q60" s="524"/>
      <c r="R60" s="524"/>
      <c r="S60" s="524"/>
      <c r="T60" s="524"/>
      <c r="U60" s="524"/>
      <c r="V60" s="524"/>
      <c r="W60" s="761"/>
      <c r="X60" s="40"/>
      <c r="Y60" s="40"/>
      <c r="Z60" s="40"/>
      <c r="AA60" s="40"/>
    </row>
    <row r="61" spans="1:27" x14ac:dyDescent="0.2">
      <c r="A61" s="40"/>
      <c r="B61" s="759"/>
      <c r="C61" s="766"/>
      <c r="D61" s="524"/>
      <c r="E61" s="524"/>
      <c r="F61" s="524"/>
      <c r="G61" s="524"/>
      <c r="H61" s="524"/>
      <c r="I61" s="761"/>
      <c r="J61" s="524"/>
      <c r="K61" s="524"/>
      <c r="L61" s="524"/>
      <c r="M61" s="524"/>
      <c r="N61" s="524"/>
      <c r="O61" s="524"/>
      <c r="P61" s="524"/>
      <c r="Q61" s="524"/>
      <c r="R61" s="524"/>
      <c r="S61" s="524"/>
      <c r="T61" s="524"/>
      <c r="U61" s="524"/>
      <c r="V61" s="524"/>
      <c r="W61" s="761"/>
      <c r="X61" s="40"/>
      <c r="Y61" s="40"/>
      <c r="Z61" s="40"/>
      <c r="AA61" s="40"/>
    </row>
    <row r="62" spans="1:27" ht="16" thickBot="1" x14ac:dyDescent="0.25">
      <c r="A62" s="40"/>
      <c r="B62" s="759"/>
      <c r="C62" s="767" t="s">
        <v>711</v>
      </c>
      <c r="D62" s="768">
        <f>(E56*H56*K56*N56*Q56*T56)/(1+(E57*H57*K57*N57*Q57*T57))</f>
        <v>0.5</v>
      </c>
      <c r="E62" s="768"/>
      <c r="F62" s="769">
        <f>D62</f>
        <v>0.5</v>
      </c>
      <c r="G62" s="768"/>
      <c r="H62" s="768"/>
      <c r="I62" s="770"/>
      <c r="J62" s="524"/>
      <c r="K62" s="524"/>
      <c r="L62" s="524"/>
      <c r="M62" s="524"/>
      <c r="N62" s="524"/>
      <c r="O62" s="524"/>
      <c r="P62" s="524"/>
      <c r="Q62" s="524"/>
      <c r="R62" s="524"/>
      <c r="S62" s="524"/>
      <c r="T62" s="524"/>
      <c r="U62" s="524"/>
      <c r="V62" s="524"/>
      <c r="W62" s="761"/>
      <c r="X62" s="40"/>
      <c r="Y62" s="40"/>
      <c r="Z62" s="40"/>
      <c r="AA62" s="40"/>
    </row>
    <row r="63" spans="1:27" x14ac:dyDescent="0.2">
      <c r="A63" s="40"/>
      <c r="B63" s="759"/>
      <c r="C63" s="524"/>
      <c r="D63" s="524"/>
      <c r="E63" s="524"/>
      <c r="F63" s="524"/>
      <c r="G63" s="524"/>
      <c r="H63" s="524"/>
      <c r="I63" s="524"/>
      <c r="J63" s="524"/>
      <c r="K63" s="524"/>
      <c r="L63" s="524"/>
      <c r="M63" s="524"/>
      <c r="N63" s="524">
        <f>IF(N44="Pass",(M34)/(1-M35),1)</f>
        <v>1</v>
      </c>
      <c r="O63" s="524"/>
      <c r="P63" s="524"/>
      <c r="Q63" s="524"/>
      <c r="R63" s="524"/>
      <c r="S63" s="524"/>
      <c r="T63" s="524"/>
      <c r="U63" s="524"/>
      <c r="V63" s="524"/>
      <c r="W63" s="761"/>
      <c r="X63" s="40"/>
      <c r="Y63" s="40"/>
      <c r="Z63" s="40"/>
      <c r="AA63" s="40"/>
    </row>
    <row r="64" spans="1:27" x14ac:dyDescent="0.2">
      <c r="A64" s="40"/>
      <c r="B64" s="759"/>
      <c r="C64" s="524"/>
      <c r="D64" s="524"/>
      <c r="E64" s="524"/>
      <c r="F64" s="524"/>
      <c r="G64" s="524"/>
      <c r="H64" s="524"/>
      <c r="I64" s="524"/>
      <c r="J64" s="524"/>
      <c r="K64" s="524"/>
      <c r="L64" s="524"/>
      <c r="M64" s="524"/>
      <c r="N64" s="524"/>
      <c r="O64" s="524"/>
      <c r="P64" s="524"/>
      <c r="Q64" s="524"/>
      <c r="R64" s="524"/>
      <c r="S64" s="524"/>
      <c r="T64" s="524"/>
      <c r="U64" s="524"/>
      <c r="V64" s="524"/>
      <c r="W64" s="761"/>
      <c r="X64" s="40"/>
      <c r="Y64" s="40"/>
      <c r="Z64" s="40"/>
      <c r="AA64" s="40"/>
    </row>
    <row r="65" spans="1:27" x14ac:dyDescent="0.2">
      <c r="A65" s="40"/>
      <c r="B65" s="771"/>
      <c r="C65" s="40" t="s">
        <v>793</v>
      </c>
      <c r="D65" s="40"/>
      <c r="E65" s="40">
        <f>E56*H56*K56*N56*Q56*(T56)</f>
        <v>1</v>
      </c>
      <c r="F65" s="40"/>
      <c r="G65" s="40"/>
      <c r="H65" s="40"/>
      <c r="I65" s="40"/>
      <c r="J65" s="40"/>
      <c r="K65" s="40"/>
      <c r="L65" s="40"/>
      <c r="M65" s="40"/>
      <c r="N65" s="40"/>
      <c r="O65" s="40"/>
      <c r="P65" s="40"/>
      <c r="Q65" s="40"/>
      <c r="R65" s="40"/>
      <c r="S65" s="40"/>
      <c r="T65" s="40"/>
      <c r="U65" s="40"/>
      <c r="V65" s="40"/>
      <c r="W65" s="504"/>
      <c r="X65" s="40"/>
      <c r="Y65" s="40"/>
      <c r="Z65" s="40"/>
      <c r="AA65" s="40"/>
    </row>
    <row r="66" spans="1:27" x14ac:dyDescent="0.2">
      <c r="A66" s="40"/>
      <c r="B66" s="771"/>
      <c r="C66" s="40"/>
      <c r="D66" s="40"/>
      <c r="E66" s="40"/>
      <c r="F66" s="40"/>
      <c r="G66" s="40"/>
      <c r="H66" s="40"/>
      <c r="I66" s="40"/>
      <c r="J66" s="40"/>
      <c r="K66" s="40"/>
      <c r="L66" s="40"/>
      <c r="M66" s="40"/>
      <c r="N66" s="40"/>
      <c r="O66" s="40"/>
      <c r="P66" s="40"/>
      <c r="Q66" s="40"/>
      <c r="R66" s="40"/>
      <c r="S66" s="40"/>
      <c r="T66" s="40"/>
      <c r="U66" s="40"/>
      <c r="V66" s="40"/>
      <c r="W66" s="504"/>
      <c r="X66" s="40"/>
      <c r="Y66" s="40"/>
      <c r="Z66" s="40"/>
      <c r="AA66" s="40"/>
    </row>
    <row r="67" spans="1:27" x14ac:dyDescent="0.2">
      <c r="A67" s="40"/>
      <c r="B67" s="771"/>
      <c r="C67" s="40" t="s">
        <v>794</v>
      </c>
      <c r="D67" s="40"/>
      <c r="E67" s="40"/>
      <c r="F67" s="40"/>
      <c r="G67" s="40"/>
      <c r="H67" s="40"/>
      <c r="I67" s="40"/>
      <c r="J67" s="40"/>
      <c r="K67" s="40"/>
      <c r="L67" s="40"/>
      <c r="M67" s="40"/>
      <c r="N67" s="40"/>
      <c r="O67" s="40"/>
      <c r="P67" s="40"/>
      <c r="Q67" s="40"/>
      <c r="R67" s="40"/>
      <c r="S67" s="40"/>
      <c r="T67" s="40"/>
      <c r="U67" s="40"/>
      <c r="V67" s="40"/>
      <c r="W67" s="504"/>
      <c r="X67" s="40"/>
      <c r="Y67" s="40"/>
      <c r="Z67" s="40"/>
      <c r="AA67" s="40"/>
    </row>
    <row r="68" spans="1:27" x14ac:dyDescent="0.2">
      <c r="A68" s="40"/>
      <c r="B68" s="771"/>
      <c r="C68" s="40" t="s">
        <v>795</v>
      </c>
      <c r="D68" s="40"/>
      <c r="E68" s="40">
        <f>E65/(1+E65)</f>
        <v>0.5</v>
      </c>
      <c r="F68" s="40"/>
      <c r="G68" s="40"/>
      <c r="H68" s="40"/>
      <c r="I68" s="40"/>
      <c r="J68" s="40"/>
      <c r="K68" s="40"/>
      <c r="L68" s="40"/>
      <c r="M68" s="40"/>
      <c r="N68" s="40"/>
      <c r="O68" s="40"/>
      <c r="P68" s="40"/>
      <c r="Q68" s="40"/>
      <c r="R68" s="40"/>
      <c r="S68" s="40"/>
      <c r="T68" s="40"/>
      <c r="U68" s="40"/>
      <c r="V68" s="40"/>
      <c r="W68" s="504"/>
      <c r="X68" s="40"/>
      <c r="Y68" s="40"/>
      <c r="Z68" s="40"/>
      <c r="AA68" s="40"/>
    </row>
    <row r="69" spans="1:27" x14ac:dyDescent="0.2">
      <c r="A69" s="40"/>
      <c r="B69" s="771"/>
      <c r="C69" s="40"/>
      <c r="D69" s="40"/>
      <c r="E69" s="40"/>
      <c r="F69" s="40"/>
      <c r="G69" s="40"/>
      <c r="H69" s="40"/>
      <c r="I69" s="40"/>
      <c r="J69" s="40"/>
      <c r="K69" s="40"/>
      <c r="L69" s="40"/>
      <c r="M69" s="40"/>
      <c r="N69" s="40"/>
      <c r="O69" s="40"/>
      <c r="P69" s="40"/>
      <c r="Q69" s="40"/>
      <c r="R69" s="40"/>
      <c r="S69" s="40"/>
      <c r="T69" s="40"/>
      <c r="U69" s="40"/>
      <c r="V69" s="40"/>
      <c r="W69" s="504"/>
      <c r="X69" s="40"/>
      <c r="Y69" s="40"/>
      <c r="Z69" s="40"/>
      <c r="AA69" s="40"/>
    </row>
    <row r="70" spans="1:27" ht="16" thickBot="1" x14ac:dyDescent="0.25">
      <c r="A70" s="40"/>
      <c r="B70" s="772"/>
      <c r="C70" s="505"/>
      <c r="D70" s="505"/>
      <c r="E70" s="505"/>
      <c r="F70" s="505"/>
      <c r="G70" s="505"/>
      <c r="H70" s="505"/>
      <c r="I70" s="505"/>
      <c r="J70" s="505"/>
      <c r="K70" s="505"/>
      <c r="L70" s="505"/>
      <c r="M70" s="505"/>
      <c r="N70" s="505"/>
      <c r="O70" s="505"/>
      <c r="P70" s="505"/>
      <c r="Q70" s="505"/>
      <c r="R70" s="505"/>
      <c r="S70" s="505"/>
      <c r="T70" s="505"/>
      <c r="U70" s="505"/>
      <c r="V70" s="505"/>
      <c r="W70" s="506"/>
      <c r="X70" s="40"/>
      <c r="Y70" s="40"/>
      <c r="Z70" s="40"/>
      <c r="AA70" s="40"/>
    </row>
    <row r="71" spans="1:27" x14ac:dyDescent="0.2">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row>
    <row r="72" spans="1:27" x14ac:dyDescent="0.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row>
    <row r="73" spans="1:27" x14ac:dyDescent="0.2">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row>
    <row r="74" spans="1:27" x14ac:dyDescent="0.2">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row>
    <row r="75" spans="1:27" x14ac:dyDescent="0.2">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row>
    <row r="76" spans="1:27" x14ac:dyDescent="0.2">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row>
    <row r="77" spans="1:27" x14ac:dyDescent="0.2">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row>
    <row r="78" spans="1:27" x14ac:dyDescent="0.2">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row>
    <row r="79" spans="1:27" x14ac:dyDescent="0.2">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row>
    <row r="85" spans="4:17" x14ac:dyDescent="0.2">
      <c r="N85">
        <f>E87</f>
        <v>0.1</v>
      </c>
      <c r="Q85">
        <f>1-E87</f>
        <v>0.9</v>
      </c>
    </row>
    <row r="86" spans="4:17" x14ac:dyDescent="0.2">
      <c r="E86" t="s">
        <v>525</v>
      </c>
      <c r="G86" t="s">
        <v>780</v>
      </c>
      <c r="H86" t="s">
        <v>781</v>
      </c>
      <c r="I86" t="s">
        <v>782</v>
      </c>
      <c r="J86" t="s">
        <v>783</v>
      </c>
      <c r="N86" t="s">
        <v>784</v>
      </c>
      <c r="Q86" t="s">
        <v>785</v>
      </c>
    </row>
    <row r="87" spans="4:17" x14ac:dyDescent="0.2">
      <c r="E87">
        <v>0.1</v>
      </c>
      <c r="F87" t="s">
        <v>284</v>
      </c>
      <c r="G87">
        <v>0.9</v>
      </c>
      <c r="H87">
        <v>0.9</v>
      </c>
      <c r="I87">
        <v>0.9</v>
      </c>
      <c r="J87">
        <v>0.9</v>
      </c>
    </row>
    <row r="88" spans="4:17" x14ac:dyDescent="0.2">
      <c r="F88" t="s">
        <v>523</v>
      </c>
      <c r="G88">
        <v>0.5</v>
      </c>
      <c r="H88">
        <v>0.5</v>
      </c>
      <c r="I88">
        <v>0.5</v>
      </c>
      <c r="J88">
        <v>0.5</v>
      </c>
      <c r="N88">
        <f>E87/(1-E87)</f>
        <v>0.11111111111111112</v>
      </c>
      <c r="Q88">
        <f>Q85/(1-Q85)</f>
        <v>9.0000000000000018</v>
      </c>
    </row>
    <row r="91" spans="4:17" x14ac:dyDescent="0.2">
      <c r="E91" t="s">
        <v>786</v>
      </c>
      <c r="F91" t="s">
        <v>787</v>
      </c>
      <c r="G91">
        <f>G88/(1-G87)</f>
        <v>5.0000000000000009</v>
      </c>
    </row>
    <row r="93" spans="4:17" x14ac:dyDescent="0.2">
      <c r="E93" t="s">
        <v>788</v>
      </c>
      <c r="F93" t="s">
        <v>789</v>
      </c>
      <c r="G93">
        <f>(1-G88)/G87</f>
        <v>0.55555555555555558</v>
      </c>
    </row>
    <row r="94" spans="4:17" x14ac:dyDescent="0.2">
      <c r="F94" t="s">
        <v>790</v>
      </c>
      <c r="G94">
        <f>G87/(1-G88)</f>
        <v>1.8</v>
      </c>
    </row>
    <row r="96" spans="4:17" x14ac:dyDescent="0.2">
      <c r="D96" t="s">
        <v>792</v>
      </c>
      <c r="E96" t="s">
        <v>791</v>
      </c>
    </row>
  </sheetData>
  <mergeCells count="28">
    <mergeCell ref="O48:P48"/>
    <mergeCell ref="M26:O26"/>
    <mergeCell ref="J27:L27"/>
    <mergeCell ref="J28:L28"/>
    <mergeCell ref="D28:F28"/>
    <mergeCell ref="M27:O27"/>
    <mergeCell ref="G30:I30"/>
    <mergeCell ref="D30:F30"/>
    <mergeCell ref="D31:F31"/>
    <mergeCell ref="D29:F29"/>
    <mergeCell ref="D27:F27"/>
    <mergeCell ref="G27:I27"/>
    <mergeCell ref="T25:V25"/>
    <mergeCell ref="M31:O31"/>
    <mergeCell ref="P31:R31"/>
    <mergeCell ref="G28:I28"/>
    <mergeCell ref="G29:I29"/>
    <mergeCell ref="G31:I31"/>
    <mergeCell ref="J31:L31"/>
    <mergeCell ref="M30:O30"/>
    <mergeCell ref="P30:R30"/>
    <mergeCell ref="P27:R27"/>
    <mergeCell ref="M28:O28"/>
    <mergeCell ref="P28:R28"/>
    <mergeCell ref="M29:O29"/>
    <mergeCell ref="P29:R29"/>
    <mergeCell ref="J29:L29"/>
    <mergeCell ref="J30:L30"/>
  </mergeCells>
  <conditionalFormatting sqref="E38">
    <cfRule type="containsText" dxfId="7" priority="5" operator="containsText" text="Fail">
      <formula>NOT(ISERROR(SEARCH("Fail",E38)))</formula>
    </cfRule>
  </conditionalFormatting>
  <conditionalFormatting sqref="H38">
    <cfRule type="containsText" dxfId="6" priority="4" operator="containsText" text="Fail">
      <formula>NOT(ISERROR(SEARCH("Fail",H38)))</formula>
    </cfRule>
  </conditionalFormatting>
  <conditionalFormatting sqref="K38">
    <cfRule type="containsText" dxfId="5" priority="3" operator="containsText" text="Fail">
      <formula>NOT(ISERROR(SEARCH("Fail",K38)))</formula>
    </cfRule>
  </conditionalFormatting>
  <conditionalFormatting sqref="E38 H38 K38 N38 Q38">
    <cfRule type="containsText" dxfId="4" priority="1" operator="containsText" text="N/A">
      <formula>NOT(ISERROR(SEARCH("N/A",E38)))</formula>
    </cfRule>
    <cfRule type="containsText" dxfId="3" priority="2" operator="containsText" text="Fail">
      <formula>NOT(ISERROR(SEARCH("Fail",E38)))</formula>
    </cfRule>
  </conditionalFormatting>
  <pageMargins left="0.7" right="0.7" top="0.75" bottom="0.75" header="0.3" footer="0.3"/>
  <pageSetup paperSize="9" orientation="portrait" horizontalDpi="300" r:id="rId1"/>
  <extLst>
    <ext xmlns:x14="http://schemas.microsoft.com/office/spreadsheetml/2009/9/main" uri="{CCE6A557-97BC-4b89-ADB6-D9C93CAAB3DF}">
      <x14:dataValidations xmlns:xm="http://schemas.microsoft.com/office/excel/2006/main" count="2">
        <x14:dataValidation type="list" allowBlank="1" showInputMessage="1" showErrorMessage="1" xr:uid="{CF0F0EC0-B3F5-481F-80E5-728365ACB6AC}">
          <x14:formula1>
            <xm:f>'Do Not Edit'!$G$2:$G$4</xm:f>
          </x14:formula1>
          <xm:sqref>E38 H38 K38 N38 Q38</xm:sqref>
        </x14:dataValidation>
        <x14:dataValidation type="list" allowBlank="1" showInputMessage="1" showErrorMessage="1" xr:uid="{C367B066-8644-422A-A20D-BCE0948C7018}">
          <x14:formula1>
            <xm:f>'Do Not Edit'!$G$7:$G$11</xm:f>
          </x14:formula1>
          <xm:sqref>T25:V25</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8EF27-771A-4B27-B654-24E5C7D83E05}">
  <sheetPr>
    <tabColor rgb="FFFF5050"/>
  </sheetPr>
  <dimension ref="A1:F18"/>
  <sheetViews>
    <sheetView workbookViewId="0">
      <selection activeCell="D8" sqref="D8"/>
    </sheetView>
  </sheetViews>
  <sheetFormatPr baseColWidth="10" defaultColWidth="8.83203125" defaultRowHeight="15" x14ac:dyDescent="0.2"/>
  <cols>
    <col min="2" max="2" width="24.33203125" customWidth="1"/>
    <col min="3" max="3" width="21.1640625" customWidth="1"/>
    <col min="4" max="4" width="14.5" customWidth="1"/>
    <col min="5" max="5" width="15.5" customWidth="1"/>
    <col min="6" max="6" width="8.83203125" style="13"/>
  </cols>
  <sheetData>
    <row r="1" spans="1:6" x14ac:dyDescent="0.2">
      <c r="A1" s="39"/>
      <c r="B1" s="427" t="s">
        <v>465</v>
      </c>
      <c r="C1" s="427" t="s">
        <v>469</v>
      </c>
      <c r="D1" s="427" t="s">
        <v>466</v>
      </c>
      <c r="E1" s="427" t="s">
        <v>467</v>
      </c>
      <c r="F1" s="428" t="s">
        <v>470</v>
      </c>
    </row>
    <row r="2" spans="1:6" x14ac:dyDescent="0.2">
      <c r="A2" s="39"/>
      <c r="B2" s="427"/>
      <c r="C2" s="39"/>
      <c r="D2" s="39"/>
      <c r="E2" s="39"/>
      <c r="F2" s="412"/>
    </row>
    <row r="3" spans="1:6" x14ac:dyDescent="0.2">
      <c r="A3" s="39"/>
      <c r="B3" s="427" t="s">
        <v>461</v>
      </c>
      <c r="C3" s="119">
        <v>0</v>
      </c>
      <c r="D3" s="119">
        <v>10</v>
      </c>
      <c r="E3" s="412">
        <v>568</v>
      </c>
      <c r="F3" s="412">
        <f>((E3*C3)/1000)*D3</f>
        <v>0</v>
      </c>
    </row>
    <row r="4" spans="1:6" x14ac:dyDescent="0.2">
      <c r="A4" s="39"/>
      <c r="B4" s="427" t="s">
        <v>462</v>
      </c>
      <c r="C4" s="119">
        <v>0</v>
      </c>
      <c r="D4" s="119">
        <v>14</v>
      </c>
      <c r="E4" s="412">
        <v>175</v>
      </c>
      <c r="F4" s="412">
        <f>((E4*C4)/1000)*D4</f>
        <v>0</v>
      </c>
    </row>
    <row r="5" spans="1:6" x14ac:dyDescent="0.2">
      <c r="A5" s="39"/>
      <c r="B5" s="427" t="s">
        <v>463</v>
      </c>
      <c r="C5" s="119">
        <v>0</v>
      </c>
      <c r="D5" s="119">
        <v>16</v>
      </c>
      <c r="E5" s="412">
        <v>250</v>
      </c>
      <c r="F5" s="412">
        <f>((E5*C5)/1000)*D5</f>
        <v>0</v>
      </c>
    </row>
    <row r="6" spans="1:6" x14ac:dyDescent="0.2">
      <c r="A6" s="39"/>
      <c r="B6" s="425" t="s">
        <v>468</v>
      </c>
      <c r="C6" s="426"/>
      <c r="D6" s="412"/>
      <c r="E6" s="412"/>
      <c r="F6" s="412"/>
    </row>
    <row r="7" spans="1:6" x14ac:dyDescent="0.2">
      <c r="A7" s="39"/>
      <c r="B7" s="427" t="s">
        <v>464</v>
      </c>
      <c r="C7" s="119">
        <v>7</v>
      </c>
      <c r="D7" s="119">
        <v>13.5</v>
      </c>
      <c r="E7" s="412">
        <v>750</v>
      </c>
      <c r="F7" s="412">
        <f>((E7*C7)/1000)*D7</f>
        <v>70.875</v>
      </c>
    </row>
    <row r="8" spans="1:6" x14ac:dyDescent="0.2">
      <c r="A8" s="39"/>
      <c r="B8" s="427" t="s">
        <v>472</v>
      </c>
      <c r="C8" s="119">
        <v>7</v>
      </c>
      <c r="D8" s="119">
        <v>40</v>
      </c>
      <c r="E8" s="412">
        <v>25</v>
      </c>
      <c r="F8" s="412">
        <f>((E8*C8)/1000)*D8</f>
        <v>7</v>
      </c>
    </row>
    <row r="9" spans="1:6" x14ac:dyDescent="0.2">
      <c r="A9" s="39"/>
      <c r="B9" s="39"/>
      <c r="C9" s="39"/>
      <c r="D9" s="39"/>
      <c r="E9" s="39"/>
      <c r="F9" s="412"/>
    </row>
    <row r="10" spans="1:6" x14ac:dyDescent="0.2">
      <c r="A10" s="39"/>
      <c r="B10" s="39"/>
      <c r="C10" s="39"/>
      <c r="D10" s="39"/>
      <c r="E10" s="39"/>
      <c r="F10" s="412"/>
    </row>
    <row r="11" spans="1:6" x14ac:dyDescent="0.2">
      <c r="A11" s="39"/>
      <c r="B11" s="39"/>
      <c r="C11" s="39"/>
      <c r="D11" s="39"/>
      <c r="E11" s="39"/>
      <c r="F11" s="412"/>
    </row>
    <row r="12" spans="1:6" x14ac:dyDescent="0.2">
      <c r="A12" s="39"/>
      <c r="B12" s="39"/>
      <c r="C12" s="39"/>
      <c r="D12" s="39"/>
      <c r="E12" s="39"/>
      <c r="F12" s="412"/>
    </row>
    <row r="13" spans="1:6" x14ac:dyDescent="0.2">
      <c r="A13" s="39"/>
      <c r="B13" s="39"/>
      <c r="C13" s="39"/>
      <c r="D13" s="913" t="s">
        <v>471</v>
      </c>
      <c r="E13" s="913"/>
      <c r="F13" s="428">
        <f>SUM(F3:F8)</f>
        <v>77.875</v>
      </c>
    </row>
    <row r="14" spans="1:6" ht="16" thickBot="1" x14ac:dyDescent="0.25">
      <c r="A14" s="39"/>
      <c r="B14" s="39"/>
      <c r="C14" s="39"/>
      <c r="D14" s="39"/>
      <c r="E14" s="39"/>
      <c r="F14" s="412"/>
    </row>
    <row r="15" spans="1:6" ht="16" thickBot="1" x14ac:dyDescent="0.25">
      <c r="A15" s="39"/>
      <c r="B15" s="39"/>
      <c r="C15" s="39"/>
      <c r="D15" s="911" t="str">
        <f>IF(F13&lt;14.1,"Within recommended limits",IF((AND(F13&gt;14,F13&lt;50)),"Above safe limits","ARBD risks highlighted"))</f>
        <v>ARBD risks highlighted</v>
      </c>
      <c r="E15" s="912"/>
      <c r="F15" s="412"/>
    </row>
    <row r="16" spans="1:6" x14ac:dyDescent="0.2">
      <c r="A16" s="39"/>
      <c r="B16" s="39"/>
      <c r="C16" s="39"/>
      <c r="D16" s="39"/>
      <c r="E16" s="39"/>
      <c r="F16" s="412"/>
    </row>
    <row r="17" spans="1:6" x14ac:dyDescent="0.2">
      <c r="A17" s="39"/>
      <c r="B17" s="39"/>
      <c r="C17" s="39"/>
      <c r="D17" s="39"/>
      <c r="E17" s="39"/>
      <c r="F17" s="412"/>
    </row>
    <row r="18" spans="1:6" x14ac:dyDescent="0.2">
      <c r="A18" s="39"/>
      <c r="B18" s="39"/>
      <c r="C18" s="39"/>
      <c r="D18" s="39"/>
      <c r="E18" s="39"/>
      <c r="F18" s="412"/>
    </row>
  </sheetData>
  <mergeCells count="2">
    <mergeCell ref="D15:E15"/>
    <mergeCell ref="D13:E13"/>
  </mergeCells>
  <conditionalFormatting sqref="D15">
    <cfRule type="containsText" dxfId="2" priority="1" operator="containsText" text="Within recommended limits">
      <formula>NOT(ISERROR(SEARCH("Within recommended limits",D15)))</formula>
    </cfRule>
    <cfRule type="containsText" dxfId="1" priority="2" operator="containsText" text="Above safe limits">
      <formula>NOT(ISERROR(SEARCH("Above safe limits",D15)))</formula>
    </cfRule>
    <cfRule type="containsText" dxfId="0" priority="3" operator="containsText" text="ARBD risks highlighted">
      <formula>NOT(ISERROR(SEARCH("ARBD risks highlighted",D15)))</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F06A5-FE5F-4EE6-9D3A-AD2F6654D8BA}">
  <sheetPr>
    <tabColor rgb="FFC00000"/>
  </sheetPr>
  <dimension ref="A1:CB200"/>
  <sheetViews>
    <sheetView topLeftCell="A70" zoomScaleNormal="100" workbookViewId="0">
      <selection activeCell="I97" sqref="I97:O107"/>
    </sheetView>
  </sheetViews>
  <sheetFormatPr baseColWidth="10" defaultColWidth="8.83203125" defaultRowHeight="15" x14ac:dyDescent="0.2"/>
  <cols>
    <col min="17" max="17" width="30.5" customWidth="1"/>
  </cols>
  <sheetData>
    <row r="1" spans="1:80" x14ac:dyDescent="0.2">
      <c r="A1" s="5" t="s">
        <v>73</v>
      </c>
      <c r="L1" s="5" t="s">
        <v>59</v>
      </c>
      <c r="R1" s="5" t="s">
        <v>66</v>
      </c>
      <c r="AA1" s="5" t="s">
        <v>318</v>
      </c>
      <c r="AJ1" s="230" t="s">
        <v>135</v>
      </c>
      <c r="AQ1" s="5" t="s">
        <v>354</v>
      </c>
      <c r="AT1" s="5" t="s">
        <v>355</v>
      </c>
      <c r="BJ1" s="5" t="s">
        <v>486</v>
      </c>
      <c r="BV1" t="s">
        <v>494</v>
      </c>
      <c r="BW1" t="s">
        <v>497</v>
      </c>
    </row>
    <row r="2" spans="1:80" x14ac:dyDescent="0.2">
      <c r="G2" t="s">
        <v>104</v>
      </c>
      <c r="L2" t="s">
        <v>60</v>
      </c>
      <c r="M2" t="s">
        <v>61</v>
      </c>
      <c r="N2" t="s">
        <v>62</v>
      </c>
      <c r="O2" t="s">
        <v>63</v>
      </c>
      <c r="S2" t="s">
        <v>0</v>
      </c>
      <c r="AB2" t="s">
        <v>0</v>
      </c>
      <c r="AJ2" s="230" t="s">
        <v>352</v>
      </c>
      <c r="AQ2" s="232" t="s">
        <v>371</v>
      </c>
    </row>
    <row r="3" spans="1:80" x14ac:dyDescent="0.2">
      <c r="A3" t="s">
        <v>76</v>
      </c>
      <c r="B3" t="s">
        <v>74</v>
      </c>
      <c r="C3">
        <f>'Standard Tests'!$B$6+15</f>
        <v>118.13976599999997</v>
      </c>
      <c r="G3" t="s">
        <v>529</v>
      </c>
      <c r="L3">
        <v>0</v>
      </c>
      <c r="M3">
        <v>0</v>
      </c>
      <c r="N3">
        <v>0</v>
      </c>
      <c r="O3">
        <v>0</v>
      </c>
      <c r="T3" t="s">
        <v>67</v>
      </c>
      <c r="U3" t="s">
        <v>68</v>
      </c>
      <c r="V3" t="s">
        <v>69</v>
      </c>
      <c r="W3" t="s">
        <v>70</v>
      </c>
      <c r="X3" t="s">
        <v>71</v>
      </c>
      <c r="Y3" t="s">
        <v>72</v>
      </c>
      <c r="AC3" t="s">
        <v>67</v>
      </c>
      <c r="AD3" t="s">
        <v>68</v>
      </c>
      <c r="AE3" t="s">
        <v>69</v>
      </c>
      <c r="AF3" t="s">
        <v>70</v>
      </c>
      <c r="AG3" t="s">
        <v>71</v>
      </c>
      <c r="AH3" t="s">
        <v>72</v>
      </c>
      <c r="AR3" t="s">
        <v>356</v>
      </c>
      <c r="AS3" t="s">
        <v>357</v>
      </c>
      <c r="AT3" t="s">
        <v>358</v>
      </c>
      <c r="AU3" t="s">
        <v>359</v>
      </c>
      <c r="AV3" s="231" t="s">
        <v>360</v>
      </c>
      <c r="AW3" t="s">
        <v>361</v>
      </c>
      <c r="AX3" t="s">
        <v>362</v>
      </c>
      <c r="AY3" t="s">
        <v>363</v>
      </c>
      <c r="AZ3" s="231" t="s">
        <v>364</v>
      </c>
      <c r="BA3" t="s">
        <v>365</v>
      </c>
      <c r="BB3" t="s">
        <v>366</v>
      </c>
      <c r="BC3" s="231" t="s">
        <v>367</v>
      </c>
      <c r="BD3" t="s">
        <v>368</v>
      </c>
      <c r="BE3" s="231" t="s">
        <v>369</v>
      </c>
      <c r="BF3" t="s">
        <v>370</v>
      </c>
      <c r="BJ3" t="s">
        <v>0</v>
      </c>
    </row>
    <row r="4" spans="1:80" x14ac:dyDescent="0.2">
      <c r="B4" t="s">
        <v>75</v>
      </c>
      <c r="C4">
        <f>'Standard Tests'!$B$6-15</f>
        <v>88.139765999999966</v>
      </c>
      <c r="G4" t="s">
        <v>43</v>
      </c>
      <c r="L4">
        <v>1</v>
      </c>
      <c r="M4">
        <v>3</v>
      </c>
      <c r="N4">
        <v>1</v>
      </c>
      <c r="O4">
        <v>1</v>
      </c>
      <c r="S4">
        <v>40</v>
      </c>
      <c r="T4">
        <v>10</v>
      </c>
      <c r="U4">
        <v>13</v>
      </c>
      <c r="V4">
        <v>14</v>
      </c>
      <c r="W4">
        <v>12</v>
      </c>
      <c r="X4">
        <v>12</v>
      </c>
      <c r="Y4">
        <v>7</v>
      </c>
      <c r="AB4">
        <v>40</v>
      </c>
      <c r="AC4">
        <v>9</v>
      </c>
      <c r="AD4">
        <v>11</v>
      </c>
      <c r="AE4">
        <v>12</v>
      </c>
      <c r="AF4">
        <v>10</v>
      </c>
      <c r="AG4">
        <v>10</v>
      </c>
      <c r="AH4">
        <v>6</v>
      </c>
      <c r="AQ4">
        <v>40</v>
      </c>
      <c r="AR4">
        <v>16.399999999999999</v>
      </c>
      <c r="AS4">
        <v>15.6</v>
      </c>
      <c r="AT4">
        <v>17.7</v>
      </c>
      <c r="AU4">
        <v>15.8</v>
      </c>
      <c r="AV4" s="231">
        <v>12.5</v>
      </c>
      <c r="AW4">
        <v>17.399999999999999</v>
      </c>
      <c r="AX4">
        <v>19.3</v>
      </c>
      <c r="AY4">
        <v>17.600000000000001</v>
      </c>
      <c r="AZ4" s="231">
        <v>14.7</v>
      </c>
      <c r="BA4">
        <v>18.600000000000001</v>
      </c>
      <c r="BB4">
        <v>16.899999999999999</v>
      </c>
      <c r="BC4" s="231">
        <v>13.8</v>
      </c>
      <c r="BD4">
        <v>18.8</v>
      </c>
      <c r="BE4" s="231">
        <v>16.100000000000001</v>
      </c>
      <c r="BF4">
        <v>14.1</v>
      </c>
      <c r="BK4" t="s">
        <v>412</v>
      </c>
      <c r="BL4" t="s">
        <v>413</v>
      </c>
      <c r="BM4" t="s">
        <v>414</v>
      </c>
      <c r="BN4" t="s">
        <v>415</v>
      </c>
      <c r="BO4" t="s">
        <v>416</v>
      </c>
      <c r="BP4" t="s">
        <v>417</v>
      </c>
      <c r="BQ4" t="s">
        <v>418</v>
      </c>
      <c r="BR4" t="s">
        <v>341</v>
      </c>
      <c r="BV4" s="13" t="s">
        <v>41</v>
      </c>
      <c r="BW4" s="13" t="s">
        <v>77</v>
      </c>
      <c r="BX4" s="13" t="s">
        <v>438</v>
      </c>
      <c r="BY4" s="13" t="s">
        <v>439</v>
      </c>
      <c r="BZ4" s="13" t="s">
        <v>440</v>
      </c>
      <c r="CA4" s="13" t="s">
        <v>121</v>
      </c>
      <c r="CB4" s="13" t="s">
        <v>72</v>
      </c>
    </row>
    <row r="5" spans="1:80" x14ac:dyDescent="0.2">
      <c r="A5" t="s">
        <v>77</v>
      </c>
      <c r="B5" t="s">
        <v>74</v>
      </c>
      <c r="C5">
        <f>'Standard Tests'!$B$7+15</f>
        <v>120.4067</v>
      </c>
      <c r="L5">
        <v>2</v>
      </c>
      <c r="M5">
        <v>6</v>
      </c>
      <c r="N5">
        <v>2</v>
      </c>
      <c r="O5">
        <v>2</v>
      </c>
      <c r="S5">
        <v>41</v>
      </c>
      <c r="T5">
        <v>10</v>
      </c>
      <c r="U5">
        <v>13</v>
      </c>
      <c r="V5">
        <v>14</v>
      </c>
      <c r="W5">
        <v>12</v>
      </c>
      <c r="X5">
        <v>12</v>
      </c>
      <c r="Y5">
        <v>7</v>
      </c>
      <c r="AB5">
        <v>41</v>
      </c>
      <c r="AC5">
        <v>9</v>
      </c>
      <c r="AD5">
        <v>11</v>
      </c>
      <c r="AE5">
        <v>12</v>
      </c>
      <c r="AF5">
        <v>10</v>
      </c>
      <c r="AG5">
        <v>10</v>
      </c>
      <c r="AH5">
        <v>6</v>
      </c>
      <c r="AQ5">
        <v>41</v>
      </c>
      <c r="AR5">
        <v>16.399999999999999</v>
      </c>
      <c r="AS5">
        <v>15.6</v>
      </c>
      <c r="AT5">
        <v>17.7</v>
      </c>
      <c r="AU5">
        <v>15.8</v>
      </c>
      <c r="AV5" s="231">
        <v>12.5</v>
      </c>
      <c r="AW5">
        <v>17.399999999999999</v>
      </c>
      <c r="AX5">
        <v>19.3</v>
      </c>
      <c r="AY5">
        <v>17.600000000000001</v>
      </c>
      <c r="AZ5" s="231">
        <v>14.7</v>
      </c>
      <c r="BA5">
        <v>18.600000000000001</v>
      </c>
      <c r="BB5">
        <v>16.899999999999999</v>
      </c>
      <c r="BC5" s="231">
        <v>13.8</v>
      </c>
      <c r="BD5">
        <v>18.8</v>
      </c>
      <c r="BE5" s="231">
        <v>16.100000000000001</v>
      </c>
      <c r="BF5">
        <v>14.1</v>
      </c>
      <c r="BJ5">
        <v>40</v>
      </c>
      <c r="BK5">
        <v>1.04</v>
      </c>
      <c r="BL5">
        <v>1.56</v>
      </c>
      <c r="BM5">
        <v>2.0299999999999998</v>
      </c>
      <c r="BN5">
        <v>2.08</v>
      </c>
      <c r="BO5">
        <v>1.24</v>
      </c>
      <c r="BP5">
        <v>1.24</v>
      </c>
      <c r="BQ5">
        <v>1.59</v>
      </c>
      <c r="BR5">
        <v>2.0099999999999998</v>
      </c>
      <c r="BV5" s="496" t="s">
        <v>495</v>
      </c>
      <c r="BW5" s="13">
        <v>-35</v>
      </c>
      <c r="BX5" s="13">
        <v>-34</v>
      </c>
      <c r="BY5" s="13">
        <v>-29</v>
      </c>
      <c r="BZ5" s="13"/>
      <c r="CA5" s="13"/>
      <c r="CB5" s="13">
        <v>-23</v>
      </c>
    </row>
    <row r="6" spans="1:80" x14ac:dyDescent="0.2">
      <c r="B6" t="s">
        <v>75</v>
      </c>
      <c r="C6">
        <f>'Standard Tests'!$B$7-15</f>
        <v>90.406700000000001</v>
      </c>
      <c r="L6">
        <v>3</v>
      </c>
      <c r="M6">
        <v>10</v>
      </c>
      <c r="N6">
        <v>3</v>
      </c>
      <c r="O6">
        <v>3</v>
      </c>
      <c r="S6">
        <v>42</v>
      </c>
      <c r="T6">
        <v>10</v>
      </c>
      <c r="U6">
        <v>13</v>
      </c>
      <c r="V6">
        <v>14</v>
      </c>
      <c r="W6">
        <v>12</v>
      </c>
      <c r="X6">
        <v>12</v>
      </c>
      <c r="Y6">
        <v>7</v>
      </c>
      <c r="AB6">
        <v>42</v>
      </c>
      <c r="AC6">
        <v>9</v>
      </c>
      <c r="AD6">
        <v>11</v>
      </c>
      <c r="AE6">
        <v>12</v>
      </c>
      <c r="AF6">
        <v>10</v>
      </c>
      <c r="AG6">
        <v>10</v>
      </c>
      <c r="AH6">
        <v>6</v>
      </c>
      <c r="AQ6">
        <v>42</v>
      </c>
      <c r="AR6">
        <v>16.399999999999999</v>
      </c>
      <c r="AS6">
        <v>15.6</v>
      </c>
      <c r="AT6">
        <v>17.7</v>
      </c>
      <c r="AU6">
        <v>15.8</v>
      </c>
      <c r="AV6" s="231">
        <v>12.5</v>
      </c>
      <c r="AW6">
        <v>17.399999999999999</v>
      </c>
      <c r="AX6">
        <v>19.3</v>
      </c>
      <c r="AY6">
        <v>17.600000000000001</v>
      </c>
      <c r="AZ6" s="231">
        <v>14.7</v>
      </c>
      <c r="BA6">
        <v>18.600000000000001</v>
      </c>
      <c r="BB6">
        <v>16.899999999999999</v>
      </c>
      <c r="BC6" s="231">
        <v>13.8</v>
      </c>
      <c r="BD6">
        <v>18.8</v>
      </c>
      <c r="BE6" s="231">
        <v>16.100000000000001</v>
      </c>
      <c r="BF6">
        <v>14.1</v>
      </c>
      <c r="BJ6">
        <v>41</v>
      </c>
      <c r="BK6">
        <v>1.04</v>
      </c>
      <c r="BL6">
        <v>1.56</v>
      </c>
      <c r="BM6">
        <v>2.0299999999999998</v>
      </c>
      <c r="BN6">
        <v>2.08</v>
      </c>
      <c r="BO6">
        <v>1.24</v>
      </c>
      <c r="BP6">
        <v>1.24</v>
      </c>
      <c r="BQ6">
        <v>1.59</v>
      </c>
      <c r="BR6">
        <v>2.0099999999999998</v>
      </c>
      <c r="BV6" s="497">
        <v>0.02</v>
      </c>
      <c r="BW6" s="13">
        <v>-34</v>
      </c>
      <c r="BX6" s="13">
        <v>-32.799999999999997</v>
      </c>
      <c r="BY6" s="13">
        <v>-26.8</v>
      </c>
      <c r="BZ6" s="13"/>
      <c r="CA6" s="13"/>
      <c r="CB6" s="13">
        <v>-22.3</v>
      </c>
    </row>
    <row r="7" spans="1:80" x14ac:dyDescent="0.2">
      <c r="A7" t="s">
        <v>78</v>
      </c>
      <c r="B7" t="s">
        <v>74</v>
      </c>
      <c r="C7">
        <f>'Standard Tests'!$B$8+15</f>
        <v>120.26920000000001</v>
      </c>
      <c r="G7" t="s">
        <v>290</v>
      </c>
      <c r="L7">
        <v>4</v>
      </c>
      <c r="M7">
        <v>14</v>
      </c>
      <c r="N7">
        <v>4</v>
      </c>
      <c r="O7">
        <v>4</v>
      </c>
      <c r="S7">
        <v>43</v>
      </c>
      <c r="T7">
        <v>10</v>
      </c>
      <c r="U7">
        <v>13</v>
      </c>
      <c r="V7">
        <v>14</v>
      </c>
      <c r="W7">
        <v>12</v>
      </c>
      <c r="X7">
        <v>12</v>
      </c>
      <c r="Y7">
        <v>7</v>
      </c>
      <c r="AB7">
        <v>43</v>
      </c>
      <c r="AC7">
        <v>9</v>
      </c>
      <c r="AD7">
        <v>11</v>
      </c>
      <c r="AE7">
        <v>12</v>
      </c>
      <c r="AF7">
        <v>10</v>
      </c>
      <c r="AG7">
        <v>10</v>
      </c>
      <c r="AH7">
        <v>6</v>
      </c>
      <c r="AQ7">
        <v>43</v>
      </c>
      <c r="AR7">
        <v>16.399999999999999</v>
      </c>
      <c r="AS7">
        <v>15.6</v>
      </c>
      <c r="AT7">
        <v>17.7</v>
      </c>
      <c r="AU7">
        <v>15.8</v>
      </c>
      <c r="AV7" s="231">
        <v>12.5</v>
      </c>
      <c r="AW7">
        <v>17.399999999999999</v>
      </c>
      <c r="AX7">
        <v>19.3</v>
      </c>
      <c r="AY7">
        <v>17.600000000000001</v>
      </c>
      <c r="AZ7" s="231">
        <v>14.7</v>
      </c>
      <c r="BA7">
        <v>18.600000000000001</v>
      </c>
      <c r="BB7">
        <v>16.899999999999999</v>
      </c>
      <c r="BC7" s="231">
        <v>13.8</v>
      </c>
      <c r="BD7">
        <v>18.8</v>
      </c>
      <c r="BE7" s="231">
        <v>16.100000000000001</v>
      </c>
      <c r="BF7">
        <v>14.1</v>
      </c>
      <c r="BJ7">
        <v>42</v>
      </c>
      <c r="BK7">
        <v>1.04</v>
      </c>
      <c r="BL7">
        <v>1.56</v>
      </c>
      <c r="BM7">
        <v>2.0299999999999998</v>
      </c>
      <c r="BN7">
        <v>2.08</v>
      </c>
      <c r="BO7">
        <v>1.24</v>
      </c>
      <c r="BP7">
        <v>1.24</v>
      </c>
      <c r="BQ7">
        <v>1.59</v>
      </c>
      <c r="BR7">
        <v>2.0099999999999998</v>
      </c>
      <c r="BV7" s="497">
        <v>0.05</v>
      </c>
      <c r="BW7" s="13">
        <v>-23.9</v>
      </c>
      <c r="BX7" s="13">
        <v>-28.7</v>
      </c>
      <c r="BY7" s="13">
        <v>-19.899999999999999</v>
      </c>
      <c r="BZ7" s="13"/>
      <c r="CA7" s="13"/>
      <c r="CB7" s="13">
        <v>-19.899999999999999</v>
      </c>
    </row>
    <row r="8" spans="1:80" x14ac:dyDescent="0.2">
      <c r="B8" t="s">
        <v>75</v>
      </c>
      <c r="C8">
        <f>'Standard Tests'!$B$8-15</f>
        <v>90.269200000000012</v>
      </c>
      <c r="G8" t="s">
        <v>532</v>
      </c>
      <c r="L8">
        <v>5</v>
      </c>
      <c r="M8">
        <v>18</v>
      </c>
      <c r="N8">
        <v>5</v>
      </c>
      <c r="O8">
        <v>9</v>
      </c>
      <c r="S8">
        <v>44</v>
      </c>
      <c r="T8">
        <v>10</v>
      </c>
      <c r="U8">
        <v>13</v>
      </c>
      <c r="V8">
        <v>14</v>
      </c>
      <c r="W8">
        <v>12</v>
      </c>
      <c r="X8">
        <v>12</v>
      </c>
      <c r="Y8">
        <v>7</v>
      </c>
      <c r="AB8">
        <v>44</v>
      </c>
      <c r="AC8">
        <v>9</v>
      </c>
      <c r="AD8">
        <v>11</v>
      </c>
      <c r="AE8">
        <v>12</v>
      </c>
      <c r="AF8">
        <v>10</v>
      </c>
      <c r="AG8">
        <v>10</v>
      </c>
      <c r="AH8">
        <v>6</v>
      </c>
      <c r="AJ8" t="s">
        <v>353</v>
      </c>
      <c r="AK8" t="str">
        <f>'Standard Tests'!C22</f>
        <v>±90% CI</v>
      </c>
      <c r="AQ8">
        <v>44</v>
      </c>
      <c r="AR8">
        <v>16.399999999999999</v>
      </c>
      <c r="AS8">
        <v>15.6</v>
      </c>
      <c r="AT8">
        <v>17.7</v>
      </c>
      <c r="AU8">
        <v>15.8</v>
      </c>
      <c r="AV8" s="231">
        <v>12.5</v>
      </c>
      <c r="AW8">
        <v>17.399999999999999</v>
      </c>
      <c r="AX8">
        <v>19.3</v>
      </c>
      <c r="AY8">
        <v>17.600000000000001</v>
      </c>
      <c r="AZ8" s="231">
        <v>14.7</v>
      </c>
      <c r="BA8">
        <v>18.600000000000001</v>
      </c>
      <c r="BB8">
        <v>16.899999999999999</v>
      </c>
      <c r="BC8" s="231">
        <v>13.8</v>
      </c>
      <c r="BD8">
        <v>18.8</v>
      </c>
      <c r="BE8" s="231">
        <v>16.100000000000001</v>
      </c>
      <c r="BF8">
        <v>14.1</v>
      </c>
      <c r="BJ8">
        <v>43</v>
      </c>
      <c r="BK8">
        <v>1.04</v>
      </c>
      <c r="BL8">
        <v>1.56</v>
      </c>
      <c r="BM8">
        <v>2.0299999999999998</v>
      </c>
      <c r="BN8">
        <v>2.08</v>
      </c>
      <c r="BO8">
        <v>1.24</v>
      </c>
      <c r="BP8">
        <v>1.24</v>
      </c>
      <c r="BQ8">
        <v>1.59</v>
      </c>
      <c r="BR8">
        <v>2.0099999999999998</v>
      </c>
      <c r="BV8" s="497">
        <v>0.1</v>
      </c>
      <c r="BW8" s="13">
        <v>-23</v>
      </c>
      <c r="BX8" s="13">
        <v>-22</v>
      </c>
      <c r="BY8" s="13">
        <v>-17.600000000000001</v>
      </c>
      <c r="BZ8" s="13"/>
      <c r="CA8" s="13"/>
      <c r="CB8" s="13">
        <v>-16</v>
      </c>
    </row>
    <row r="9" spans="1:80" x14ac:dyDescent="0.2">
      <c r="G9" t="s">
        <v>533</v>
      </c>
      <c r="L9">
        <v>6</v>
      </c>
      <c r="M9">
        <v>24</v>
      </c>
      <c r="N9">
        <v>6</v>
      </c>
      <c r="O9">
        <v>14</v>
      </c>
      <c r="S9">
        <v>45</v>
      </c>
      <c r="T9">
        <v>10</v>
      </c>
      <c r="U9">
        <v>13</v>
      </c>
      <c r="V9">
        <v>14</v>
      </c>
      <c r="W9">
        <v>12</v>
      </c>
      <c r="X9">
        <v>12</v>
      </c>
      <c r="Y9">
        <v>7</v>
      </c>
      <c r="AB9">
        <v>45</v>
      </c>
      <c r="AC9">
        <v>9</v>
      </c>
      <c r="AD9">
        <v>11</v>
      </c>
      <c r="AE9">
        <v>12</v>
      </c>
      <c r="AF9">
        <v>10</v>
      </c>
      <c r="AG9">
        <v>10</v>
      </c>
      <c r="AH9">
        <v>6</v>
      </c>
      <c r="AQ9">
        <v>45</v>
      </c>
      <c r="AR9">
        <v>16.399999999999999</v>
      </c>
      <c r="AS9">
        <v>15.6</v>
      </c>
      <c r="AT9">
        <v>17.7</v>
      </c>
      <c r="AU9">
        <v>15.8</v>
      </c>
      <c r="AV9" s="231">
        <v>12.5</v>
      </c>
      <c r="AW9">
        <v>17.399999999999999</v>
      </c>
      <c r="AX9">
        <v>19.3</v>
      </c>
      <c r="AY9">
        <v>17.600000000000001</v>
      </c>
      <c r="AZ9" s="231">
        <v>14.7</v>
      </c>
      <c r="BA9">
        <v>18.600000000000001</v>
      </c>
      <c r="BB9">
        <v>16.899999999999999</v>
      </c>
      <c r="BC9" s="231">
        <v>13.8</v>
      </c>
      <c r="BD9">
        <v>18.8</v>
      </c>
      <c r="BE9" s="231">
        <v>16.100000000000001</v>
      </c>
      <c r="BF9">
        <v>14.1</v>
      </c>
      <c r="BJ9">
        <v>44</v>
      </c>
      <c r="BK9">
        <v>1.04</v>
      </c>
      <c r="BL9">
        <v>1.56</v>
      </c>
      <c r="BM9">
        <v>2.0299999999999998</v>
      </c>
      <c r="BN9">
        <v>2.08</v>
      </c>
      <c r="BO9">
        <v>1.24</v>
      </c>
      <c r="BP9">
        <v>1.24</v>
      </c>
      <c r="BQ9">
        <v>1.59</v>
      </c>
      <c r="BR9">
        <v>2.0099999999999998</v>
      </c>
      <c r="BV9" s="497">
        <v>0.2</v>
      </c>
      <c r="BW9" s="13">
        <v>-15</v>
      </c>
      <c r="BX9" s="13">
        <v>-14.6</v>
      </c>
      <c r="BY9" s="13">
        <v>-12</v>
      </c>
      <c r="BZ9" s="13"/>
      <c r="CA9" s="13"/>
      <c r="CB9" s="13">
        <v>-11.6</v>
      </c>
    </row>
    <row r="10" spans="1:80" x14ac:dyDescent="0.2">
      <c r="B10" t="s">
        <v>199</v>
      </c>
      <c r="C10" t="s">
        <v>200</v>
      </c>
      <c r="G10" t="s">
        <v>534</v>
      </c>
      <c r="L10">
        <v>7</v>
      </c>
      <c r="M10">
        <v>30</v>
      </c>
      <c r="N10">
        <v>7</v>
      </c>
      <c r="O10">
        <v>19</v>
      </c>
      <c r="S10">
        <v>46</v>
      </c>
      <c r="T10">
        <v>10</v>
      </c>
      <c r="U10">
        <v>13</v>
      </c>
      <c r="V10">
        <v>14</v>
      </c>
      <c r="W10">
        <v>12</v>
      </c>
      <c r="X10">
        <v>12</v>
      </c>
      <c r="Y10">
        <v>7</v>
      </c>
      <c r="AB10">
        <v>46</v>
      </c>
      <c r="AC10">
        <v>9</v>
      </c>
      <c r="AD10">
        <v>11</v>
      </c>
      <c r="AE10">
        <v>12</v>
      </c>
      <c r="AF10">
        <v>10</v>
      </c>
      <c r="AG10">
        <v>10</v>
      </c>
      <c r="AH10">
        <v>6</v>
      </c>
      <c r="AQ10">
        <v>46</v>
      </c>
      <c r="AR10">
        <v>16.399999999999999</v>
      </c>
      <c r="AS10">
        <v>15.6</v>
      </c>
      <c r="AT10">
        <v>17.7</v>
      </c>
      <c r="AU10">
        <v>15.8</v>
      </c>
      <c r="AV10" s="231">
        <v>12.5</v>
      </c>
      <c r="AW10">
        <v>17.399999999999999</v>
      </c>
      <c r="AX10">
        <v>19.3</v>
      </c>
      <c r="AY10">
        <v>17.600000000000001</v>
      </c>
      <c r="AZ10" s="231">
        <v>14.7</v>
      </c>
      <c r="BA10">
        <v>18.600000000000001</v>
      </c>
      <c r="BB10">
        <v>16.899999999999999</v>
      </c>
      <c r="BC10" s="231">
        <v>13.8</v>
      </c>
      <c r="BD10">
        <v>18.8</v>
      </c>
      <c r="BE10" s="231">
        <v>16.100000000000001</v>
      </c>
      <c r="BF10">
        <v>14.1</v>
      </c>
      <c r="BJ10">
        <v>45</v>
      </c>
      <c r="BK10">
        <v>1.04</v>
      </c>
      <c r="BL10">
        <v>1.56</v>
      </c>
      <c r="BM10">
        <v>2.0299999999999998</v>
      </c>
      <c r="BN10">
        <v>2.08</v>
      </c>
      <c r="BO10">
        <v>1.24</v>
      </c>
      <c r="BP10">
        <v>1.24</v>
      </c>
      <c r="BQ10">
        <v>1.59</v>
      </c>
      <c r="BR10">
        <v>2.0099999999999998</v>
      </c>
      <c r="BV10" s="497">
        <v>0.5</v>
      </c>
      <c r="BW10" s="13">
        <v>-6</v>
      </c>
      <c r="BX10" s="13">
        <v>0</v>
      </c>
      <c r="BY10" s="13">
        <v>0</v>
      </c>
      <c r="BZ10" s="13"/>
      <c r="CA10" s="13"/>
      <c r="CB10" s="13">
        <v>-3</v>
      </c>
    </row>
    <row r="11" spans="1:80" x14ac:dyDescent="0.2">
      <c r="A11" t="s">
        <v>178</v>
      </c>
      <c r="B11">
        <v>100</v>
      </c>
      <c r="C11">
        <v>15</v>
      </c>
      <c r="G11" t="s">
        <v>535</v>
      </c>
      <c r="L11">
        <v>8</v>
      </c>
      <c r="M11">
        <v>36</v>
      </c>
      <c r="N11">
        <v>8</v>
      </c>
      <c r="O11">
        <v>24</v>
      </c>
      <c r="S11">
        <v>47</v>
      </c>
      <c r="T11">
        <v>10</v>
      </c>
      <c r="U11">
        <v>13</v>
      </c>
      <c r="V11">
        <v>14</v>
      </c>
      <c r="W11">
        <v>12</v>
      </c>
      <c r="X11">
        <v>12</v>
      </c>
      <c r="Y11">
        <v>7</v>
      </c>
      <c r="AB11">
        <v>47</v>
      </c>
      <c r="AC11">
        <v>9</v>
      </c>
      <c r="AD11">
        <v>11</v>
      </c>
      <c r="AE11">
        <v>12</v>
      </c>
      <c r="AF11">
        <v>10</v>
      </c>
      <c r="AG11">
        <v>10</v>
      </c>
      <c r="AH11">
        <v>6</v>
      </c>
      <c r="AQ11">
        <v>47</v>
      </c>
      <c r="AR11">
        <v>16.399999999999999</v>
      </c>
      <c r="AS11">
        <v>15.6</v>
      </c>
      <c r="AT11">
        <v>17.7</v>
      </c>
      <c r="AU11">
        <v>15.8</v>
      </c>
      <c r="AV11" s="231">
        <v>12.5</v>
      </c>
      <c r="AW11">
        <v>17.399999999999999</v>
      </c>
      <c r="AX11">
        <v>19.3</v>
      </c>
      <c r="AY11">
        <v>17.600000000000001</v>
      </c>
      <c r="AZ11" s="231">
        <v>14.7</v>
      </c>
      <c r="BA11">
        <v>18.600000000000001</v>
      </c>
      <c r="BB11">
        <v>16.899999999999999</v>
      </c>
      <c r="BC11" s="231">
        <v>13.8</v>
      </c>
      <c r="BD11">
        <v>18.8</v>
      </c>
      <c r="BE11" s="231">
        <v>16.100000000000001</v>
      </c>
      <c r="BF11">
        <v>14.1</v>
      </c>
      <c r="BJ11">
        <v>46</v>
      </c>
      <c r="BK11">
        <v>1.04</v>
      </c>
      <c r="BL11">
        <v>1.56</v>
      </c>
      <c r="BM11">
        <v>2.0299999999999998</v>
      </c>
      <c r="BN11">
        <v>2.08</v>
      </c>
      <c r="BO11">
        <v>1.24</v>
      </c>
      <c r="BP11">
        <v>1.24</v>
      </c>
      <c r="BQ11">
        <v>1.59</v>
      </c>
      <c r="BR11">
        <v>2.0099999999999998</v>
      </c>
      <c r="BV11" s="497">
        <v>0.8</v>
      </c>
      <c r="BW11" s="13">
        <v>6</v>
      </c>
      <c r="BX11" s="13">
        <v>6.2</v>
      </c>
      <c r="BY11" s="13">
        <v>8.1999999999999993</v>
      </c>
      <c r="BZ11" s="13"/>
      <c r="CA11" s="13"/>
      <c r="CB11" s="13">
        <v>3.6</v>
      </c>
    </row>
    <row r="12" spans="1:80" x14ac:dyDescent="0.2">
      <c r="A12" t="s">
        <v>195</v>
      </c>
      <c r="B12">
        <v>10</v>
      </c>
      <c r="C12">
        <v>3</v>
      </c>
      <c r="L12">
        <v>9</v>
      </c>
      <c r="M12">
        <v>42</v>
      </c>
      <c r="N12">
        <v>9</v>
      </c>
      <c r="O12">
        <v>29</v>
      </c>
      <c r="S12">
        <v>48</v>
      </c>
      <c r="T12">
        <v>10</v>
      </c>
      <c r="U12">
        <v>13</v>
      </c>
      <c r="V12">
        <v>14</v>
      </c>
      <c r="W12">
        <v>12</v>
      </c>
      <c r="X12">
        <v>12</v>
      </c>
      <c r="Y12">
        <v>7</v>
      </c>
      <c r="AB12">
        <v>48</v>
      </c>
      <c r="AC12">
        <v>9</v>
      </c>
      <c r="AD12">
        <v>11</v>
      </c>
      <c r="AE12">
        <v>12</v>
      </c>
      <c r="AF12">
        <v>10</v>
      </c>
      <c r="AG12">
        <v>10</v>
      </c>
      <c r="AH12">
        <v>6</v>
      </c>
      <c r="AQ12">
        <v>48</v>
      </c>
      <c r="AR12">
        <v>16.399999999999999</v>
      </c>
      <c r="AS12">
        <v>15.6</v>
      </c>
      <c r="AT12">
        <v>17.7</v>
      </c>
      <c r="AU12">
        <v>15.8</v>
      </c>
      <c r="AV12" s="231">
        <v>12.5</v>
      </c>
      <c r="AW12">
        <v>17.399999999999999</v>
      </c>
      <c r="AX12">
        <v>19.3</v>
      </c>
      <c r="AY12">
        <v>17.600000000000001</v>
      </c>
      <c r="AZ12" s="231">
        <v>14.7</v>
      </c>
      <c r="BA12">
        <v>18.600000000000001</v>
      </c>
      <c r="BB12">
        <v>16.899999999999999</v>
      </c>
      <c r="BC12" s="231">
        <v>13.8</v>
      </c>
      <c r="BD12">
        <v>18.8</v>
      </c>
      <c r="BE12" s="231">
        <v>16.100000000000001</v>
      </c>
      <c r="BF12">
        <v>14.1</v>
      </c>
      <c r="BJ12">
        <v>47</v>
      </c>
      <c r="BK12">
        <v>1.04</v>
      </c>
      <c r="BL12">
        <v>1.56</v>
      </c>
      <c r="BM12">
        <v>2.0299999999999998</v>
      </c>
      <c r="BN12">
        <v>2.08</v>
      </c>
      <c r="BO12">
        <v>1.24</v>
      </c>
      <c r="BP12">
        <v>1.24</v>
      </c>
      <c r="BQ12">
        <v>1.59</v>
      </c>
      <c r="BR12">
        <v>2.0099999999999998</v>
      </c>
      <c r="BV12" s="497">
        <v>0.9</v>
      </c>
      <c r="BW12" s="13">
        <v>14.8</v>
      </c>
      <c r="BX12" s="13">
        <v>19</v>
      </c>
      <c r="BY12" s="13">
        <v>13.8</v>
      </c>
      <c r="BZ12" s="13"/>
      <c r="CA12" s="13"/>
      <c r="CB12" s="13">
        <v>7</v>
      </c>
    </row>
    <row r="13" spans="1:80" x14ac:dyDescent="0.2">
      <c r="A13" t="s">
        <v>196</v>
      </c>
      <c r="B13">
        <v>0</v>
      </c>
      <c r="C13">
        <v>1</v>
      </c>
      <c r="L13">
        <v>10</v>
      </c>
      <c r="M13">
        <v>48</v>
      </c>
      <c r="N13">
        <v>10</v>
      </c>
      <c r="O13">
        <v>34</v>
      </c>
      <c r="S13">
        <v>49</v>
      </c>
      <c r="T13">
        <v>10</v>
      </c>
      <c r="U13">
        <v>13</v>
      </c>
      <c r="V13">
        <v>14</v>
      </c>
      <c r="W13">
        <v>12</v>
      </c>
      <c r="X13">
        <v>12</v>
      </c>
      <c r="Y13">
        <v>7</v>
      </c>
      <c r="AB13">
        <v>49</v>
      </c>
      <c r="AC13">
        <v>9</v>
      </c>
      <c r="AD13">
        <v>11</v>
      </c>
      <c r="AE13">
        <v>12</v>
      </c>
      <c r="AF13">
        <v>10</v>
      </c>
      <c r="AG13">
        <v>10</v>
      </c>
      <c r="AH13">
        <v>6</v>
      </c>
      <c r="AQ13">
        <v>49</v>
      </c>
      <c r="AR13">
        <v>16.399999999999999</v>
      </c>
      <c r="AS13">
        <v>15.6</v>
      </c>
      <c r="AT13">
        <v>17.7</v>
      </c>
      <c r="AU13">
        <v>15.8</v>
      </c>
      <c r="AV13" s="231">
        <v>12.5</v>
      </c>
      <c r="AW13">
        <v>17.399999999999999</v>
      </c>
      <c r="AX13">
        <v>19.3</v>
      </c>
      <c r="AY13">
        <v>17.600000000000001</v>
      </c>
      <c r="AZ13" s="231">
        <v>14.7</v>
      </c>
      <c r="BA13">
        <v>18.600000000000001</v>
      </c>
      <c r="BB13">
        <v>16.899999999999999</v>
      </c>
      <c r="BC13" s="231">
        <v>13.8</v>
      </c>
      <c r="BD13">
        <v>18.8</v>
      </c>
      <c r="BE13" s="231">
        <v>16.100000000000001</v>
      </c>
      <c r="BF13">
        <v>14.1</v>
      </c>
      <c r="BJ13">
        <v>48</v>
      </c>
      <c r="BK13">
        <v>1.04</v>
      </c>
      <c r="BL13">
        <v>1.56</v>
      </c>
      <c r="BM13">
        <v>2.0299999999999998</v>
      </c>
      <c r="BN13">
        <v>2.08</v>
      </c>
      <c r="BO13">
        <v>1.24</v>
      </c>
      <c r="BP13">
        <v>1.24</v>
      </c>
      <c r="BQ13">
        <v>1.59</v>
      </c>
      <c r="BR13">
        <v>2.0099999999999998</v>
      </c>
      <c r="BV13" s="497">
        <v>0.95</v>
      </c>
      <c r="BW13" s="13">
        <v>17</v>
      </c>
      <c r="BX13" s="13">
        <v>22.8</v>
      </c>
      <c r="BY13" s="13">
        <v>16.899999999999999</v>
      </c>
      <c r="BZ13" s="13"/>
      <c r="CA13" s="13"/>
      <c r="CB13" s="13">
        <v>13</v>
      </c>
    </row>
    <row r="14" spans="1:80" x14ac:dyDescent="0.2">
      <c r="A14" t="s">
        <v>197</v>
      </c>
      <c r="B14">
        <v>50</v>
      </c>
      <c r="C14">
        <v>10</v>
      </c>
      <c r="L14">
        <v>11</v>
      </c>
      <c r="M14">
        <v>54</v>
      </c>
      <c r="N14">
        <v>11</v>
      </c>
      <c r="O14">
        <v>50</v>
      </c>
      <c r="S14">
        <v>50</v>
      </c>
      <c r="T14">
        <v>10</v>
      </c>
      <c r="U14">
        <v>12</v>
      </c>
      <c r="V14">
        <v>11</v>
      </c>
      <c r="W14">
        <v>11</v>
      </c>
      <c r="X14">
        <v>12</v>
      </c>
      <c r="Y14">
        <v>7</v>
      </c>
      <c r="AB14">
        <v>50</v>
      </c>
      <c r="AC14">
        <v>8</v>
      </c>
      <c r="AD14">
        <v>10</v>
      </c>
      <c r="AE14">
        <v>9</v>
      </c>
      <c r="AF14">
        <v>10</v>
      </c>
      <c r="AG14">
        <v>10</v>
      </c>
      <c r="AH14">
        <v>6</v>
      </c>
      <c r="AQ14">
        <v>50</v>
      </c>
      <c r="AR14">
        <v>15.8</v>
      </c>
      <c r="AS14">
        <v>15</v>
      </c>
      <c r="AT14">
        <v>14.4</v>
      </c>
      <c r="AU14">
        <v>15.3</v>
      </c>
      <c r="AV14" s="231">
        <v>11.8</v>
      </c>
      <c r="AW14">
        <v>16.899999999999999</v>
      </c>
      <c r="AX14">
        <v>16.399999999999999</v>
      </c>
      <c r="AY14">
        <v>17.100000000000001</v>
      </c>
      <c r="AZ14" s="231">
        <v>14.1</v>
      </c>
      <c r="BA14">
        <v>15.6</v>
      </c>
      <c r="BB14">
        <v>16.399999999999999</v>
      </c>
      <c r="BC14" s="231">
        <v>13.1</v>
      </c>
      <c r="BD14">
        <v>15.8</v>
      </c>
      <c r="BE14" s="231">
        <v>12.5</v>
      </c>
      <c r="BF14">
        <v>13.5</v>
      </c>
      <c r="BJ14">
        <v>49</v>
      </c>
      <c r="BK14">
        <v>1.04</v>
      </c>
      <c r="BL14">
        <v>1.56</v>
      </c>
      <c r="BM14">
        <v>2.0299999999999998</v>
      </c>
      <c r="BN14">
        <v>2.08</v>
      </c>
      <c r="BO14">
        <v>1.24</v>
      </c>
      <c r="BP14">
        <v>1.24</v>
      </c>
      <c r="BQ14">
        <v>1.59</v>
      </c>
      <c r="BR14">
        <v>2.0099999999999998</v>
      </c>
      <c r="BV14" s="497">
        <v>0.98</v>
      </c>
      <c r="BW14" s="13">
        <v>23</v>
      </c>
      <c r="BX14" s="13">
        <v>31.3</v>
      </c>
      <c r="BY14" s="13">
        <v>25</v>
      </c>
      <c r="BZ14" s="13"/>
      <c r="CA14" s="13"/>
      <c r="CB14" s="13">
        <v>22</v>
      </c>
    </row>
    <row r="15" spans="1:80" x14ac:dyDescent="0.2">
      <c r="A15" t="s">
        <v>198</v>
      </c>
      <c r="B15">
        <v>5.5</v>
      </c>
      <c r="C15">
        <v>2</v>
      </c>
      <c r="L15">
        <v>12</v>
      </c>
      <c r="M15">
        <v>60</v>
      </c>
      <c r="N15">
        <v>12</v>
      </c>
      <c r="O15">
        <v>50</v>
      </c>
      <c r="S15">
        <v>51</v>
      </c>
      <c r="T15">
        <v>10</v>
      </c>
      <c r="U15">
        <v>12</v>
      </c>
      <c r="V15">
        <v>11</v>
      </c>
      <c r="W15">
        <v>11</v>
      </c>
      <c r="X15">
        <v>12</v>
      </c>
      <c r="Y15">
        <v>7</v>
      </c>
      <c r="AB15">
        <v>51</v>
      </c>
      <c r="AC15">
        <v>8</v>
      </c>
      <c r="AD15">
        <v>10</v>
      </c>
      <c r="AE15">
        <v>9</v>
      </c>
      <c r="AF15">
        <v>10</v>
      </c>
      <c r="AG15">
        <v>10</v>
      </c>
      <c r="AH15">
        <v>6</v>
      </c>
      <c r="AQ15">
        <v>51</v>
      </c>
      <c r="AR15">
        <v>15.8</v>
      </c>
      <c r="AS15">
        <v>15</v>
      </c>
      <c r="AT15">
        <v>14.4</v>
      </c>
      <c r="AU15">
        <v>15.3</v>
      </c>
      <c r="AV15" s="231">
        <v>11.8</v>
      </c>
      <c r="AW15">
        <v>16.899999999999999</v>
      </c>
      <c r="AX15">
        <v>16.399999999999999</v>
      </c>
      <c r="AY15">
        <v>17.100000000000001</v>
      </c>
      <c r="AZ15" s="231">
        <v>14.1</v>
      </c>
      <c r="BA15">
        <v>15.6</v>
      </c>
      <c r="BB15">
        <v>16.399999999999999</v>
      </c>
      <c r="BC15" s="231">
        <v>13.1</v>
      </c>
      <c r="BD15">
        <v>15.8</v>
      </c>
      <c r="BE15" s="231">
        <v>12.5</v>
      </c>
      <c r="BF15">
        <v>13.5</v>
      </c>
      <c r="BJ15">
        <v>50</v>
      </c>
      <c r="BK15">
        <v>1.1599999999999999</v>
      </c>
      <c r="BL15">
        <v>1.27</v>
      </c>
      <c r="BM15">
        <v>2.0299999999999998</v>
      </c>
      <c r="BN15">
        <v>2.08</v>
      </c>
      <c r="BO15">
        <v>1.1599999999999999</v>
      </c>
      <c r="BP15">
        <v>1.24</v>
      </c>
      <c r="BQ15">
        <v>1.59</v>
      </c>
      <c r="BR15">
        <v>2.0099999999999998</v>
      </c>
      <c r="BV15" s="496" t="s">
        <v>496</v>
      </c>
      <c r="BW15" s="13">
        <v>24</v>
      </c>
      <c r="BX15" s="13">
        <v>32</v>
      </c>
      <c r="BY15" s="13">
        <v>26</v>
      </c>
      <c r="BZ15" s="13"/>
      <c r="CA15" s="13"/>
      <c r="CB15" s="13"/>
    </row>
    <row r="16" spans="1:80" x14ac:dyDescent="0.2">
      <c r="L16">
        <v>13</v>
      </c>
      <c r="M16">
        <v>66</v>
      </c>
      <c r="N16">
        <v>13</v>
      </c>
      <c r="O16">
        <v>50</v>
      </c>
      <c r="S16">
        <v>52</v>
      </c>
      <c r="T16">
        <v>10</v>
      </c>
      <c r="U16">
        <v>12</v>
      </c>
      <c r="V16">
        <v>11</v>
      </c>
      <c r="W16">
        <v>11</v>
      </c>
      <c r="X16">
        <v>12</v>
      </c>
      <c r="Y16">
        <v>7</v>
      </c>
      <c r="AB16">
        <v>52</v>
      </c>
      <c r="AC16">
        <v>8</v>
      </c>
      <c r="AD16">
        <v>10</v>
      </c>
      <c r="AE16">
        <v>9</v>
      </c>
      <c r="AF16">
        <v>10</v>
      </c>
      <c r="AG16">
        <v>10</v>
      </c>
      <c r="AH16">
        <v>6</v>
      </c>
      <c r="AQ16">
        <v>52</v>
      </c>
      <c r="AR16">
        <v>15.8</v>
      </c>
      <c r="AS16">
        <v>15</v>
      </c>
      <c r="AT16">
        <v>14.4</v>
      </c>
      <c r="AU16">
        <v>15.3</v>
      </c>
      <c r="AV16" s="231">
        <v>11.8</v>
      </c>
      <c r="AW16">
        <v>16.899999999999999</v>
      </c>
      <c r="AX16">
        <v>16.399999999999999</v>
      </c>
      <c r="AY16">
        <v>17.100000000000001</v>
      </c>
      <c r="AZ16" s="231">
        <v>14.1</v>
      </c>
      <c r="BA16">
        <v>15.6</v>
      </c>
      <c r="BB16">
        <v>16.399999999999999</v>
      </c>
      <c r="BC16" s="231">
        <v>13.1</v>
      </c>
      <c r="BD16">
        <v>15.8</v>
      </c>
      <c r="BE16" s="231">
        <v>12.5</v>
      </c>
      <c r="BF16">
        <v>13.5</v>
      </c>
      <c r="BJ16">
        <v>51</v>
      </c>
      <c r="BK16">
        <v>1.1599999999999999</v>
      </c>
      <c r="BL16">
        <v>1.27</v>
      </c>
      <c r="BM16">
        <v>2.0299999999999998</v>
      </c>
      <c r="BN16">
        <v>2.08</v>
      </c>
      <c r="BO16">
        <v>1.1599999999999999</v>
      </c>
      <c r="BP16">
        <v>1.24</v>
      </c>
      <c r="BQ16">
        <v>1.59</v>
      </c>
      <c r="BR16">
        <v>2.0099999999999998</v>
      </c>
    </row>
    <row r="17" spans="1:70" x14ac:dyDescent="0.2">
      <c r="L17">
        <v>14</v>
      </c>
      <c r="M17">
        <v>72</v>
      </c>
      <c r="N17">
        <v>14</v>
      </c>
      <c r="O17">
        <v>50</v>
      </c>
      <c r="S17">
        <v>53</v>
      </c>
      <c r="T17">
        <v>10</v>
      </c>
      <c r="U17">
        <v>12</v>
      </c>
      <c r="V17">
        <v>11</v>
      </c>
      <c r="W17">
        <v>11</v>
      </c>
      <c r="X17">
        <v>12</v>
      </c>
      <c r="Y17">
        <v>7</v>
      </c>
      <c r="AB17">
        <v>53</v>
      </c>
      <c r="AC17">
        <v>8</v>
      </c>
      <c r="AD17">
        <v>10</v>
      </c>
      <c r="AE17">
        <v>9</v>
      </c>
      <c r="AF17">
        <v>10</v>
      </c>
      <c r="AG17">
        <v>10</v>
      </c>
      <c r="AH17">
        <v>6</v>
      </c>
      <c r="AQ17">
        <v>53</v>
      </c>
      <c r="AR17">
        <v>15.8</v>
      </c>
      <c r="AS17">
        <v>15</v>
      </c>
      <c r="AT17">
        <v>14.4</v>
      </c>
      <c r="AU17">
        <v>15.3</v>
      </c>
      <c r="AV17" s="231">
        <v>11.8</v>
      </c>
      <c r="AW17">
        <v>16.899999999999999</v>
      </c>
      <c r="AX17">
        <v>16.399999999999999</v>
      </c>
      <c r="AY17">
        <v>17.100000000000001</v>
      </c>
      <c r="AZ17" s="231">
        <v>14.1</v>
      </c>
      <c r="BA17">
        <v>15.6</v>
      </c>
      <c r="BB17">
        <v>16.399999999999999</v>
      </c>
      <c r="BC17" s="231">
        <v>13.1</v>
      </c>
      <c r="BD17">
        <v>15.8</v>
      </c>
      <c r="BE17" s="231">
        <v>12.5</v>
      </c>
      <c r="BF17">
        <v>13.5</v>
      </c>
      <c r="BJ17">
        <v>52</v>
      </c>
      <c r="BK17">
        <v>1.1599999999999999</v>
      </c>
      <c r="BL17">
        <v>1.27</v>
      </c>
      <c r="BM17">
        <v>2.0299999999999998</v>
      </c>
      <c r="BN17">
        <v>2.08</v>
      </c>
      <c r="BO17">
        <v>1.1599999999999999</v>
      </c>
      <c r="BP17">
        <v>1.24</v>
      </c>
      <c r="BQ17">
        <v>1.59</v>
      </c>
      <c r="BR17">
        <v>2.0099999999999998</v>
      </c>
    </row>
    <row r="18" spans="1:70" x14ac:dyDescent="0.2">
      <c r="L18">
        <v>15</v>
      </c>
      <c r="M18">
        <v>78</v>
      </c>
      <c r="N18">
        <v>15</v>
      </c>
      <c r="O18">
        <v>50</v>
      </c>
      <c r="S18">
        <v>54</v>
      </c>
      <c r="T18">
        <v>10</v>
      </c>
      <c r="U18">
        <v>12</v>
      </c>
      <c r="V18">
        <v>11</v>
      </c>
      <c r="W18">
        <v>11</v>
      </c>
      <c r="X18">
        <v>12</v>
      </c>
      <c r="Y18">
        <v>7</v>
      </c>
      <c r="AB18">
        <v>54</v>
      </c>
      <c r="AC18">
        <v>8</v>
      </c>
      <c r="AD18">
        <v>10</v>
      </c>
      <c r="AE18">
        <v>9</v>
      </c>
      <c r="AF18">
        <v>10</v>
      </c>
      <c r="AG18">
        <v>10</v>
      </c>
      <c r="AH18">
        <v>6</v>
      </c>
      <c r="AQ18">
        <v>54</v>
      </c>
      <c r="AR18">
        <v>15.8</v>
      </c>
      <c r="AS18">
        <v>15</v>
      </c>
      <c r="AT18">
        <v>14.4</v>
      </c>
      <c r="AU18">
        <v>15.3</v>
      </c>
      <c r="AV18" s="231">
        <v>11.8</v>
      </c>
      <c r="AW18">
        <v>16.899999999999999</v>
      </c>
      <c r="AX18">
        <v>16.399999999999999</v>
      </c>
      <c r="AY18">
        <v>17.100000000000001</v>
      </c>
      <c r="AZ18" s="231">
        <v>14.1</v>
      </c>
      <c r="BA18">
        <v>15.6</v>
      </c>
      <c r="BB18">
        <v>16.399999999999999</v>
      </c>
      <c r="BC18" s="231">
        <v>13.1</v>
      </c>
      <c r="BD18">
        <v>15.8</v>
      </c>
      <c r="BE18" s="231">
        <v>12.5</v>
      </c>
      <c r="BF18">
        <v>13.5</v>
      </c>
      <c r="BJ18">
        <v>53</v>
      </c>
      <c r="BK18">
        <v>1.1599999999999999</v>
      </c>
      <c r="BL18">
        <v>1.27</v>
      </c>
      <c r="BM18">
        <v>2.0299999999999998</v>
      </c>
      <c r="BN18">
        <v>2.08</v>
      </c>
      <c r="BO18">
        <v>1.1599999999999999</v>
      </c>
      <c r="BP18">
        <v>1.24</v>
      </c>
      <c r="BQ18">
        <v>1.59</v>
      </c>
      <c r="BR18">
        <v>2.0099999999999998</v>
      </c>
    </row>
    <row r="19" spans="1:70" ht="16" thickBot="1" x14ac:dyDescent="0.25">
      <c r="S19">
        <v>55</v>
      </c>
      <c r="T19">
        <v>10</v>
      </c>
      <c r="U19">
        <v>12</v>
      </c>
      <c r="V19">
        <v>11</v>
      </c>
      <c r="W19">
        <v>11</v>
      </c>
      <c r="X19">
        <v>12</v>
      </c>
      <c r="Y19">
        <v>7</v>
      </c>
      <c r="AB19">
        <v>55</v>
      </c>
      <c r="AC19">
        <v>8</v>
      </c>
      <c r="AD19">
        <v>10</v>
      </c>
      <c r="AE19">
        <v>9</v>
      </c>
      <c r="AF19">
        <v>10</v>
      </c>
      <c r="AG19">
        <v>10</v>
      </c>
      <c r="AH19">
        <v>6</v>
      </c>
      <c r="AJ19" t="str">
        <f>"Pre-Morbid Estimates vs RBANS "&amp;AK8</f>
        <v>Pre-Morbid Estimates vs RBANS ±90% CI</v>
      </c>
      <c r="AQ19">
        <v>55</v>
      </c>
      <c r="AR19">
        <v>15.8</v>
      </c>
      <c r="AS19">
        <v>15</v>
      </c>
      <c r="AT19">
        <v>14.4</v>
      </c>
      <c r="AU19">
        <v>15.3</v>
      </c>
      <c r="AV19" s="231">
        <v>11.8</v>
      </c>
      <c r="AW19">
        <v>16.899999999999999</v>
      </c>
      <c r="AX19">
        <v>16.399999999999999</v>
      </c>
      <c r="AY19">
        <v>17.100000000000001</v>
      </c>
      <c r="AZ19" s="231">
        <v>14.1</v>
      </c>
      <c r="BA19">
        <v>15.6</v>
      </c>
      <c r="BB19">
        <v>16.399999999999999</v>
      </c>
      <c r="BC19" s="231">
        <v>13.1</v>
      </c>
      <c r="BD19">
        <v>15.8</v>
      </c>
      <c r="BE19" s="231">
        <v>12.5</v>
      </c>
      <c r="BF19">
        <v>13.5</v>
      </c>
      <c r="BJ19">
        <v>54</v>
      </c>
      <c r="BK19">
        <v>1.1599999999999999</v>
      </c>
      <c r="BL19">
        <v>1.27</v>
      </c>
      <c r="BM19">
        <v>2.0299999999999998</v>
      </c>
      <c r="BN19">
        <v>2.08</v>
      </c>
      <c r="BO19">
        <v>1.1599999999999999</v>
      </c>
      <c r="BP19">
        <v>1.24</v>
      </c>
      <c r="BQ19">
        <v>1.59</v>
      </c>
      <c r="BR19">
        <v>2.0099999999999998</v>
      </c>
    </row>
    <row r="20" spans="1:70" x14ac:dyDescent="0.2">
      <c r="A20" t="s">
        <v>244</v>
      </c>
      <c r="C20" s="214"/>
      <c r="D20" s="215"/>
      <c r="E20" s="215"/>
      <c r="F20" s="215"/>
      <c r="G20" s="215"/>
      <c r="H20" s="215"/>
      <c r="I20" s="215"/>
      <c r="J20" s="215"/>
      <c r="K20" s="216"/>
      <c r="S20">
        <v>56</v>
      </c>
      <c r="T20">
        <v>10</v>
      </c>
      <c r="U20">
        <v>12</v>
      </c>
      <c r="V20">
        <v>11</v>
      </c>
      <c r="W20">
        <v>11</v>
      </c>
      <c r="X20">
        <v>12</v>
      </c>
      <c r="Y20">
        <v>7</v>
      </c>
      <c r="AB20">
        <v>56</v>
      </c>
      <c r="AC20">
        <v>8</v>
      </c>
      <c r="AD20">
        <v>10</v>
      </c>
      <c r="AE20">
        <v>9</v>
      </c>
      <c r="AF20">
        <v>10</v>
      </c>
      <c r="AG20">
        <v>10</v>
      </c>
      <c r="AH20">
        <v>6</v>
      </c>
      <c r="AQ20">
        <v>56</v>
      </c>
      <c r="AR20">
        <v>15.8</v>
      </c>
      <c r="AS20">
        <v>15</v>
      </c>
      <c r="AT20">
        <v>14.4</v>
      </c>
      <c r="AU20">
        <v>15.3</v>
      </c>
      <c r="AV20" s="231">
        <v>11.8</v>
      </c>
      <c r="AW20">
        <v>16.899999999999999</v>
      </c>
      <c r="AX20">
        <v>16.399999999999999</v>
      </c>
      <c r="AY20">
        <v>17.100000000000001</v>
      </c>
      <c r="AZ20" s="231">
        <v>14.1</v>
      </c>
      <c r="BA20">
        <v>15.6</v>
      </c>
      <c r="BB20">
        <v>16.399999999999999</v>
      </c>
      <c r="BC20" s="231">
        <v>13.1</v>
      </c>
      <c r="BD20">
        <v>15.8</v>
      </c>
      <c r="BE20" s="231">
        <v>12.5</v>
      </c>
      <c r="BF20">
        <v>13.5</v>
      </c>
      <c r="BJ20">
        <v>55</v>
      </c>
      <c r="BK20">
        <v>1.1599999999999999</v>
      </c>
      <c r="BL20">
        <v>1.27</v>
      </c>
      <c r="BM20">
        <v>2.0299999999999998</v>
      </c>
      <c r="BN20">
        <v>2.08</v>
      </c>
      <c r="BO20">
        <v>1.1599999999999999</v>
      </c>
      <c r="BP20">
        <v>1.24</v>
      </c>
      <c r="BQ20">
        <v>1.59</v>
      </c>
      <c r="BR20">
        <v>2.0099999999999998</v>
      </c>
    </row>
    <row r="21" spans="1:70" x14ac:dyDescent="0.2">
      <c r="A21" t="s">
        <v>260</v>
      </c>
      <c r="C21" s="217"/>
      <c r="K21" s="218"/>
      <c r="S21">
        <v>57</v>
      </c>
      <c r="T21">
        <v>10</v>
      </c>
      <c r="U21">
        <v>12</v>
      </c>
      <c r="V21">
        <v>11</v>
      </c>
      <c r="W21">
        <v>11</v>
      </c>
      <c r="X21">
        <v>12</v>
      </c>
      <c r="Y21">
        <v>7</v>
      </c>
      <c r="AB21">
        <v>57</v>
      </c>
      <c r="AC21">
        <v>8</v>
      </c>
      <c r="AD21">
        <v>10</v>
      </c>
      <c r="AE21">
        <v>9</v>
      </c>
      <c r="AF21">
        <v>10</v>
      </c>
      <c r="AG21">
        <v>10</v>
      </c>
      <c r="AH21">
        <v>6</v>
      </c>
      <c r="AQ21">
        <v>57</v>
      </c>
      <c r="AR21">
        <v>15.8</v>
      </c>
      <c r="AS21">
        <v>15</v>
      </c>
      <c r="AT21">
        <v>14.4</v>
      </c>
      <c r="AU21">
        <v>15.3</v>
      </c>
      <c r="AV21" s="231">
        <v>11.8</v>
      </c>
      <c r="AW21">
        <v>16.899999999999999</v>
      </c>
      <c r="AX21">
        <v>16.399999999999999</v>
      </c>
      <c r="AY21">
        <v>17.100000000000001</v>
      </c>
      <c r="AZ21" s="231">
        <v>14.1</v>
      </c>
      <c r="BA21">
        <v>15.6</v>
      </c>
      <c r="BB21">
        <v>16.399999999999999</v>
      </c>
      <c r="BC21" s="231">
        <v>13.1</v>
      </c>
      <c r="BD21">
        <v>15.8</v>
      </c>
      <c r="BE21" s="231">
        <v>12.5</v>
      </c>
      <c r="BF21">
        <v>13.5</v>
      </c>
      <c r="BJ21">
        <v>56</v>
      </c>
      <c r="BK21">
        <v>1.1599999999999999</v>
      </c>
      <c r="BL21">
        <v>1.27</v>
      </c>
      <c r="BM21">
        <v>2.0299999999999998</v>
      </c>
      <c r="BN21">
        <v>2.08</v>
      </c>
      <c r="BO21">
        <v>1.1599999999999999</v>
      </c>
      <c r="BP21">
        <v>1.24</v>
      </c>
      <c r="BQ21">
        <v>1.59</v>
      </c>
      <c r="BR21">
        <v>2.0099999999999998</v>
      </c>
    </row>
    <row r="22" spans="1:70" x14ac:dyDescent="0.2">
      <c r="C22" s="217"/>
      <c r="K22" s="218"/>
      <c r="S22">
        <v>58</v>
      </c>
      <c r="T22">
        <v>10</v>
      </c>
      <c r="U22">
        <v>12</v>
      </c>
      <c r="V22">
        <v>11</v>
      </c>
      <c r="W22">
        <v>11</v>
      </c>
      <c r="X22">
        <v>12</v>
      </c>
      <c r="Y22">
        <v>7</v>
      </c>
      <c r="AB22">
        <v>58</v>
      </c>
      <c r="AC22">
        <v>8</v>
      </c>
      <c r="AD22">
        <v>10</v>
      </c>
      <c r="AE22">
        <v>9</v>
      </c>
      <c r="AF22">
        <v>10</v>
      </c>
      <c r="AG22">
        <v>10</v>
      </c>
      <c r="AH22">
        <v>6</v>
      </c>
      <c r="AQ22">
        <v>58</v>
      </c>
      <c r="AR22">
        <v>15.8</v>
      </c>
      <c r="AS22">
        <v>15</v>
      </c>
      <c r="AT22">
        <v>14.4</v>
      </c>
      <c r="AU22">
        <v>15.3</v>
      </c>
      <c r="AV22" s="231">
        <v>11.8</v>
      </c>
      <c r="AW22">
        <v>16.899999999999999</v>
      </c>
      <c r="AX22">
        <v>16.399999999999999</v>
      </c>
      <c r="AY22">
        <v>17.100000000000001</v>
      </c>
      <c r="AZ22" s="231">
        <v>14.1</v>
      </c>
      <c r="BA22">
        <v>15.6</v>
      </c>
      <c r="BB22">
        <v>16.399999999999999</v>
      </c>
      <c r="BC22" s="231">
        <v>13.1</v>
      </c>
      <c r="BD22">
        <v>15.8</v>
      </c>
      <c r="BE22" s="231">
        <v>12.5</v>
      </c>
      <c r="BF22">
        <v>13.5</v>
      </c>
      <c r="BJ22">
        <v>57</v>
      </c>
      <c r="BK22">
        <v>1.1599999999999999</v>
      </c>
      <c r="BL22">
        <v>1.27</v>
      </c>
      <c r="BM22">
        <v>2.0299999999999998</v>
      </c>
      <c r="BN22">
        <v>2.08</v>
      </c>
      <c r="BO22">
        <v>1.1599999999999999</v>
      </c>
      <c r="BP22">
        <v>1.24</v>
      </c>
      <c r="BQ22">
        <v>1.59</v>
      </c>
      <c r="BR22">
        <v>2.0099999999999998</v>
      </c>
    </row>
    <row r="23" spans="1:70" ht="16" x14ac:dyDescent="0.2">
      <c r="C23" s="217"/>
      <c r="E23" s="222" t="s">
        <v>325</v>
      </c>
      <c r="F23" s="222"/>
      <c r="G23" s="222"/>
      <c r="H23" s="222"/>
      <c r="K23" s="218"/>
      <c r="S23">
        <v>59</v>
      </c>
      <c r="T23">
        <v>10</v>
      </c>
      <c r="U23">
        <v>12</v>
      </c>
      <c r="V23">
        <v>11</v>
      </c>
      <c r="W23">
        <v>11</v>
      </c>
      <c r="X23">
        <v>12</v>
      </c>
      <c r="Y23">
        <v>7</v>
      </c>
      <c r="AB23">
        <v>59</v>
      </c>
      <c r="AC23">
        <v>8</v>
      </c>
      <c r="AD23">
        <v>10</v>
      </c>
      <c r="AE23">
        <v>9</v>
      </c>
      <c r="AF23">
        <v>10</v>
      </c>
      <c r="AG23">
        <v>10</v>
      </c>
      <c r="AH23">
        <v>6</v>
      </c>
      <c r="AQ23">
        <v>59</v>
      </c>
      <c r="AR23">
        <v>15.8</v>
      </c>
      <c r="AS23">
        <v>15</v>
      </c>
      <c r="AT23">
        <v>14.4</v>
      </c>
      <c r="AU23">
        <v>15.3</v>
      </c>
      <c r="AV23" s="231">
        <v>11.8</v>
      </c>
      <c r="AW23">
        <v>16.899999999999999</v>
      </c>
      <c r="AX23">
        <v>16.399999999999999</v>
      </c>
      <c r="AY23">
        <v>17.100000000000001</v>
      </c>
      <c r="AZ23" s="231">
        <v>14.1</v>
      </c>
      <c r="BA23">
        <v>15.6</v>
      </c>
      <c r="BB23">
        <v>16.399999999999999</v>
      </c>
      <c r="BC23" s="231">
        <v>13.1</v>
      </c>
      <c r="BD23">
        <v>15.8</v>
      </c>
      <c r="BE23" s="231">
        <v>12.5</v>
      </c>
      <c r="BF23">
        <v>13.5</v>
      </c>
      <c r="BJ23">
        <v>58</v>
      </c>
      <c r="BK23">
        <v>1.1599999999999999</v>
      </c>
      <c r="BL23">
        <v>1.27</v>
      </c>
      <c r="BM23">
        <v>2.0299999999999998</v>
      </c>
      <c r="BN23">
        <v>2.08</v>
      </c>
      <c r="BO23">
        <v>1.1599999999999999</v>
      </c>
      <c r="BP23">
        <v>1.24</v>
      </c>
      <c r="BQ23">
        <v>1.59</v>
      </c>
      <c r="BR23">
        <v>2.0099999999999998</v>
      </c>
    </row>
    <row r="24" spans="1:70" x14ac:dyDescent="0.2">
      <c r="C24" s="217"/>
      <c r="K24" s="218"/>
      <c r="S24">
        <v>60</v>
      </c>
      <c r="T24">
        <v>11</v>
      </c>
      <c r="U24">
        <v>12</v>
      </c>
      <c r="V24">
        <v>11</v>
      </c>
      <c r="W24">
        <v>12</v>
      </c>
      <c r="X24">
        <v>11</v>
      </c>
      <c r="Y24">
        <v>8</v>
      </c>
      <c r="AB24">
        <v>60</v>
      </c>
      <c r="AC24">
        <v>10</v>
      </c>
      <c r="AD24">
        <v>10</v>
      </c>
      <c r="AE24">
        <v>10</v>
      </c>
      <c r="AF24">
        <v>10</v>
      </c>
      <c r="AG24">
        <v>10</v>
      </c>
      <c r="AH24">
        <v>7</v>
      </c>
      <c r="AQ24">
        <v>60</v>
      </c>
      <c r="AR24">
        <v>16.399999999999999</v>
      </c>
      <c r="AS24">
        <v>16.600000000000001</v>
      </c>
      <c r="AT24">
        <v>16.100000000000001</v>
      </c>
      <c r="AU24">
        <v>16.100000000000001</v>
      </c>
      <c r="AV24" s="231">
        <v>13.8</v>
      </c>
      <c r="AW24">
        <v>16.899999999999999</v>
      </c>
      <c r="AX24">
        <v>16.399999999999999</v>
      </c>
      <c r="AY24">
        <v>16.399999999999999</v>
      </c>
      <c r="AZ24" s="231">
        <v>14.1</v>
      </c>
      <c r="BA24">
        <v>16.600000000000001</v>
      </c>
      <c r="BB24">
        <v>16.600000000000001</v>
      </c>
      <c r="BC24" s="231">
        <v>14.4</v>
      </c>
      <c r="BD24">
        <v>16.100000000000001</v>
      </c>
      <c r="BE24" s="231">
        <v>13.8</v>
      </c>
      <c r="BF24">
        <v>13.8</v>
      </c>
      <c r="BJ24">
        <v>59</v>
      </c>
      <c r="BK24">
        <v>1.1599999999999999</v>
      </c>
      <c r="BL24">
        <v>1.27</v>
      </c>
      <c r="BM24">
        <v>2.0299999999999998</v>
      </c>
      <c r="BN24">
        <v>2.08</v>
      </c>
      <c r="BO24">
        <v>1.1599999999999999</v>
      </c>
      <c r="BP24">
        <v>1.24</v>
      </c>
      <c r="BQ24">
        <v>1.59</v>
      </c>
      <c r="BR24">
        <v>2.0099999999999998</v>
      </c>
    </row>
    <row r="25" spans="1:70" x14ac:dyDescent="0.2">
      <c r="C25" s="217"/>
      <c r="K25" s="218"/>
      <c r="M25" s="64" t="s">
        <v>577</v>
      </c>
      <c r="N25" s="40">
        <v>1</v>
      </c>
      <c r="S25">
        <v>61</v>
      </c>
      <c r="T25">
        <v>11</v>
      </c>
      <c r="U25">
        <v>12</v>
      </c>
      <c r="V25">
        <v>11</v>
      </c>
      <c r="W25">
        <v>12</v>
      </c>
      <c r="X25">
        <v>11</v>
      </c>
      <c r="Y25">
        <v>8</v>
      </c>
      <c r="AB25">
        <v>61</v>
      </c>
      <c r="AC25">
        <v>10</v>
      </c>
      <c r="AD25">
        <v>10</v>
      </c>
      <c r="AE25">
        <v>10</v>
      </c>
      <c r="AF25">
        <v>10</v>
      </c>
      <c r="AG25">
        <v>10</v>
      </c>
      <c r="AH25">
        <v>7</v>
      </c>
      <c r="AQ25">
        <v>61</v>
      </c>
      <c r="AR25">
        <v>16.399999999999999</v>
      </c>
      <c r="AS25">
        <v>16.600000000000001</v>
      </c>
      <c r="AT25">
        <v>16.100000000000001</v>
      </c>
      <c r="AU25">
        <v>16.100000000000001</v>
      </c>
      <c r="AV25" s="231">
        <v>13.8</v>
      </c>
      <c r="AW25">
        <v>16.899999999999999</v>
      </c>
      <c r="AX25">
        <v>16.399999999999999</v>
      </c>
      <c r="AY25">
        <v>16.399999999999999</v>
      </c>
      <c r="AZ25" s="231">
        <v>14.1</v>
      </c>
      <c r="BA25">
        <v>16.600000000000001</v>
      </c>
      <c r="BB25">
        <v>16.600000000000001</v>
      </c>
      <c r="BC25" s="231">
        <v>14.4</v>
      </c>
      <c r="BD25">
        <v>16.100000000000001</v>
      </c>
      <c r="BE25" s="231">
        <v>13.8</v>
      </c>
      <c r="BF25">
        <v>13.8</v>
      </c>
      <c r="BJ25">
        <v>60</v>
      </c>
      <c r="BK25">
        <v>1.34</v>
      </c>
      <c r="BL25">
        <v>1.37</v>
      </c>
      <c r="BM25">
        <v>2.0299999999999998</v>
      </c>
      <c r="BN25">
        <v>2.08</v>
      </c>
      <c r="BO25">
        <v>1.47</v>
      </c>
      <c r="BP25">
        <v>1.24</v>
      </c>
      <c r="BQ25">
        <v>1.59</v>
      </c>
      <c r="BR25">
        <v>2.0099999999999998</v>
      </c>
    </row>
    <row r="26" spans="1:70" ht="16" thickBot="1" x14ac:dyDescent="0.25">
      <c r="C26" s="219"/>
      <c r="D26" s="220"/>
      <c r="E26" s="220"/>
      <c r="F26" s="220"/>
      <c r="G26" s="220"/>
      <c r="H26" s="220"/>
      <c r="I26" s="220"/>
      <c r="J26" s="220"/>
      <c r="K26" s="221"/>
      <c r="M26" s="64" t="s">
        <v>578</v>
      </c>
      <c r="N26" s="40">
        <v>2</v>
      </c>
      <c r="S26">
        <v>62</v>
      </c>
      <c r="T26">
        <v>11</v>
      </c>
      <c r="U26">
        <v>12</v>
      </c>
      <c r="V26">
        <v>11</v>
      </c>
      <c r="W26">
        <v>12</v>
      </c>
      <c r="X26">
        <v>11</v>
      </c>
      <c r="Y26">
        <v>8</v>
      </c>
      <c r="AB26">
        <v>62</v>
      </c>
      <c r="AC26">
        <v>10</v>
      </c>
      <c r="AD26">
        <v>10</v>
      </c>
      <c r="AE26">
        <v>10</v>
      </c>
      <c r="AF26">
        <v>10</v>
      </c>
      <c r="AG26">
        <v>10</v>
      </c>
      <c r="AH26">
        <v>7</v>
      </c>
      <c r="AQ26">
        <v>62</v>
      </c>
      <c r="AR26">
        <v>16.399999999999999</v>
      </c>
      <c r="AS26">
        <v>16.600000000000001</v>
      </c>
      <c r="AT26">
        <v>16.100000000000001</v>
      </c>
      <c r="AU26">
        <v>16.100000000000001</v>
      </c>
      <c r="AV26" s="231">
        <v>13.8</v>
      </c>
      <c r="AW26">
        <v>16.899999999999999</v>
      </c>
      <c r="AX26">
        <v>16.399999999999999</v>
      </c>
      <c r="AY26">
        <v>16.399999999999999</v>
      </c>
      <c r="AZ26" s="231">
        <v>14.1</v>
      </c>
      <c r="BA26">
        <v>16.600000000000001</v>
      </c>
      <c r="BB26">
        <v>16.600000000000001</v>
      </c>
      <c r="BC26" s="231">
        <v>14.4</v>
      </c>
      <c r="BD26">
        <v>16.100000000000001</v>
      </c>
      <c r="BE26" s="231">
        <v>13.8</v>
      </c>
      <c r="BF26">
        <v>13.8</v>
      </c>
      <c r="BJ26">
        <v>61</v>
      </c>
      <c r="BK26">
        <v>1.34</v>
      </c>
      <c r="BL26">
        <v>1.37</v>
      </c>
      <c r="BM26">
        <v>2.0299999999999998</v>
      </c>
      <c r="BN26">
        <v>2.08</v>
      </c>
      <c r="BO26">
        <v>1.47</v>
      </c>
      <c r="BP26">
        <v>1.24</v>
      </c>
      <c r="BQ26">
        <v>1.59</v>
      </c>
      <c r="BR26">
        <v>2.0099999999999998</v>
      </c>
    </row>
    <row r="27" spans="1:70" x14ac:dyDescent="0.2">
      <c r="M27" s="64" t="s">
        <v>579</v>
      </c>
      <c r="N27" s="40">
        <v>3</v>
      </c>
      <c r="S27">
        <v>63</v>
      </c>
      <c r="T27">
        <v>11</v>
      </c>
      <c r="U27">
        <v>12</v>
      </c>
      <c r="V27">
        <v>11</v>
      </c>
      <c r="W27">
        <v>12</v>
      </c>
      <c r="X27">
        <v>11</v>
      </c>
      <c r="Y27">
        <v>8</v>
      </c>
      <c r="AB27">
        <v>63</v>
      </c>
      <c r="AC27">
        <v>10</v>
      </c>
      <c r="AD27">
        <v>10</v>
      </c>
      <c r="AE27">
        <v>10</v>
      </c>
      <c r="AF27">
        <v>10</v>
      </c>
      <c r="AG27">
        <v>10</v>
      </c>
      <c r="AH27">
        <v>7</v>
      </c>
      <c r="AQ27">
        <v>63</v>
      </c>
      <c r="AR27">
        <v>16.399999999999999</v>
      </c>
      <c r="AS27">
        <v>16.600000000000001</v>
      </c>
      <c r="AT27">
        <v>16.100000000000001</v>
      </c>
      <c r="AU27">
        <v>16.100000000000001</v>
      </c>
      <c r="AV27" s="231">
        <v>13.8</v>
      </c>
      <c r="AW27">
        <v>16.899999999999999</v>
      </c>
      <c r="AX27">
        <v>16.399999999999999</v>
      </c>
      <c r="AY27">
        <v>16.399999999999999</v>
      </c>
      <c r="AZ27" s="231">
        <v>14.1</v>
      </c>
      <c r="BA27">
        <v>16.600000000000001</v>
      </c>
      <c r="BB27">
        <v>16.600000000000001</v>
      </c>
      <c r="BC27" s="231">
        <v>14.4</v>
      </c>
      <c r="BD27">
        <v>16.100000000000001</v>
      </c>
      <c r="BE27" s="231">
        <v>13.8</v>
      </c>
      <c r="BF27">
        <v>13.8</v>
      </c>
      <c r="BJ27">
        <v>62</v>
      </c>
      <c r="BK27">
        <v>1.34</v>
      </c>
      <c r="BL27">
        <v>1.37</v>
      </c>
      <c r="BM27">
        <v>2.0299999999999998</v>
      </c>
      <c r="BN27">
        <v>2.08</v>
      </c>
      <c r="BO27">
        <v>1.47</v>
      </c>
      <c r="BP27">
        <v>1.24</v>
      </c>
      <c r="BQ27">
        <v>1.59</v>
      </c>
      <c r="BR27">
        <v>2.0099999999999998</v>
      </c>
    </row>
    <row r="28" spans="1:70" x14ac:dyDescent="0.2">
      <c r="M28" s="64" t="s">
        <v>580</v>
      </c>
      <c r="N28" s="40">
        <v>4</v>
      </c>
      <c r="S28">
        <v>64</v>
      </c>
      <c r="T28">
        <v>11</v>
      </c>
      <c r="U28">
        <v>12</v>
      </c>
      <c r="V28">
        <v>11</v>
      </c>
      <c r="W28">
        <v>12</v>
      </c>
      <c r="X28">
        <v>11</v>
      </c>
      <c r="Y28">
        <v>8</v>
      </c>
      <c r="AB28">
        <v>64</v>
      </c>
      <c r="AC28">
        <v>10</v>
      </c>
      <c r="AD28">
        <v>10</v>
      </c>
      <c r="AE28">
        <v>10</v>
      </c>
      <c r="AF28">
        <v>10</v>
      </c>
      <c r="AG28">
        <v>10</v>
      </c>
      <c r="AH28">
        <v>7</v>
      </c>
      <c r="AQ28">
        <v>64</v>
      </c>
      <c r="AR28">
        <v>16.399999999999999</v>
      </c>
      <c r="AS28">
        <v>16.600000000000001</v>
      </c>
      <c r="AT28">
        <v>16.100000000000001</v>
      </c>
      <c r="AU28">
        <v>16.100000000000001</v>
      </c>
      <c r="AV28" s="231">
        <v>13.8</v>
      </c>
      <c r="AW28">
        <v>16.899999999999999</v>
      </c>
      <c r="AX28">
        <v>16.399999999999999</v>
      </c>
      <c r="AY28">
        <v>16.399999999999999</v>
      </c>
      <c r="AZ28" s="231">
        <v>14.1</v>
      </c>
      <c r="BA28">
        <v>16.600000000000001</v>
      </c>
      <c r="BB28">
        <v>16.600000000000001</v>
      </c>
      <c r="BC28" s="231">
        <v>14.4</v>
      </c>
      <c r="BD28">
        <v>16.100000000000001</v>
      </c>
      <c r="BE28" s="231">
        <v>13.8</v>
      </c>
      <c r="BF28">
        <v>13.8</v>
      </c>
      <c r="BJ28">
        <v>63</v>
      </c>
      <c r="BK28">
        <v>1.34</v>
      </c>
      <c r="BL28">
        <v>1.37</v>
      </c>
      <c r="BM28">
        <v>2.0299999999999998</v>
      </c>
      <c r="BN28">
        <v>2.08</v>
      </c>
      <c r="BO28">
        <v>1.47</v>
      </c>
      <c r="BP28">
        <v>1.24</v>
      </c>
      <c r="BQ28">
        <v>1.59</v>
      </c>
      <c r="BR28">
        <v>2.0099999999999998</v>
      </c>
    </row>
    <row r="29" spans="1:70" x14ac:dyDescent="0.2">
      <c r="M29" s="64" t="s">
        <v>581</v>
      </c>
      <c r="N29" s="40">
        <v>5</v>
      </c>
      <c r="S29">
        <v>65</v>
      </c>
      <c r="T29">
        <v>11</v>
      </c>
      <c r="U29">
        <v>12</v>
      </c>
      <c r="V29">
        <v>11</v>
      </c>
      <c r="W29">
        <v>12</v>
      </c>
      <c r="X29">
        <v>11</v>
      </c>
      <c r="Y29">
        <v>8</v>
      </c>
      <c r="AB29">
        <v>65</v>
      </c>
      <c r="AC29">
        <v>10</v>
      </c>
      <c r="AD29">
        <v>10</v>
      </c>
      <c r="AE29">
        <v>10</v>
      </c>
      <c r="AF29">
        <v>10</v>
      </c>
      <c r="AG29">
        <v>10</v>
      </c>
      <c r="AH29">
        <v>7</v>
      </c>
      <c r="AQ29">
        <v>65</v>
      </c>
      <c r="AR29">
        <v>16.399999999999999</v>
      </c>
      <c r="AS29">
        <v>16.600000000000001</v>
      </c>
      <c r="AT29">
        <v>16.100000000000001</v>
      </c>
      <c r="AU29">
        <v>16.100000000000001</v>
      </c>
      <c r="AV29" s="231">
        <v>13.8</v>
      </c>
      <c r="AW29">
        <v>16.899999999999999</v>
      </c>
      <c r="AX29">
        <v>16.399999999999999</v>
      </c>
      <c r="AY29">
        <v>16.399999999999999</v>
      </c>
      <c r="AZ29" s="231">
        <v>14.1</v>
      </c>
      <c r="BA29">
        <v>16.600000000000001</v>
      </c>
      <c r="BB29">
        <v>16.600000000000001</v>
      </c>
      <c r="BC29" s="231">
        <v>14.4</v>
      </c>
      <c r="BD29">
        <v>16.100000000000001</v>
      </c>
      <c r="BE29" s="231">
        <v>13.8</v>
      </c>
      <c r="BF29">
        <v>13.8</v>
      </c>
      <c r="BJ29">
        <v>64</v>
      </c>
      <c r="BK29">
        <v>1.34</v>
      </c>
      <c r="BL29">
        <v>1.37</v>
      </c>
      <c r="BM29">
        <v>2.0299999999999998</v>
      </c>
      <c r="BN29">
        <v>2.08</v>
      </c>
      <c r="BO29">
        <v>1.47</v>
      </c>
      <c r="BP29">
        <v>1.24</v>
      </c>
      <c r="BQ29">
        <v>1.59</v>
      </c>
      <c r="BR29">
        <v>2.0099999999999998</v>
      </c>
    </row>
    <row r="30" spans="1:70" x14ac:dyDescent="0.2">
      <c r="S30">
        <v>66</v>
      </c>
      <c r="T30">
        <v>11</v>
      </c>
      <c r="U30">
        <v>12</v>
      </c>
      <c r="V30">
        <v>11</v>
      </c>
      <c r="W30">
        <v>12</v>
      </c>
      <c r="X30">
        <v>11</v>
      </c>
      <c r="Y30">
        <v>8</v>
      </c>
      <c r="AB30">
        <v>66</v>
      </c>
      <c r="AC30">
        <v>10</v>
      </c>
      <c r="AD30">
        <v>10</v>
      </c>
      <c r="AE30">
        <v>10</v>
      </c>
      <c r="AF30">
        <v>10</v>
      </c>
      <c r="AG30">
        <v>10</v>
      </c>
      <c r="AH30">
        <v>7</v>
      </c>
      <c r="AQ30">
        <v>66</v>
      </c>
      <c r="AR30">
        <v>16.399999999999999</v>
      </c>
      <c r="AS30">
        <v>16.600000000000001</v>
      </c>
      <c r="AT30">
        <v>16.100000000000001</v>
      </c>
      <c r="AU30">
        <v>16.100000000000001</v>
      </c>
      <c r="AV30" s="231">
        <v>13.8</v>
      </c>
      <c r="AW30">
        <v>16.899999999999999</v>
      </c>
      <c r="AX30">
        <v>16.399999999999999</v>
      </c>
      <c r="AY30">
        <v>16.399999999999999</v>
      </c>
      <c r="AZ30" s="231">
        <v>14.1</v>
      </c>
      <c r="BA30">
        <v>16.600000000000001</v>
      </c>
      <c r="BB30">
        <v>16.600000000000001</v>
      </c>
      <c r="BC30" s="231">
        <v>14.4</v>
      </c>
      <c r="BD30">
        <v>16.100000000000001</v>
      </c>
      <c r="BE30" s="231">
        <v>13.8</v>
      </c>
      <c r="BF30">
        <v>13.8</v>
      </c>
      <c r="BJ30">
        <v>65</v>
      </c>
      <c r="BK30">
        <v>1.34</v>
      </c>
      <c r="BL30">
        <v>1.37</v>
      </c>
      <c r="BM30">
        <v>2.0299999999999998</v>
      </c>
      <c r="BN30">
        <v>2.08</v>
      </c>
      <c r="BO30">
        <v>1.47</v>
      </c>
      <c r="BP30">
        <v>1.24</v>
      </c>
      <c r="BQ30">
        <v>1.59</v>
      </c>
      <c r="BR30">
        <v>2.0099999999999998</v>
      </c>
    </row>
    <row r="31" spans="1:70" x14ac:dyDescent="0.2">
      <c r="S31">
        <v>67</v>
      </c>
      <c r="T31">
        <v>11</v>
      </c>
      <c r="U31">
        <v>12</v>
      </c>
      <c r="V31">
        <v>11</v>
      </c>
      <c r="W31">
        <v>12</v>
      </c>
      <c r="X31">
        <v>11</v>
      </c>
      <c r="Y31">
        <v>8</v>
      </c>
      <c r="AB31">
        <v>67</v>
      </c>
      <c r="AC31">
        <v>10</v>
      </c>
      <c r="AD31">
        <v>10</v>
      </c>
      <c r="AE31">
        <v>10</v>
      </c>
      <c r="AF31">
        <v>10</v>
      </c>
      <c r="AG31">
        <v>10</v>
      </c>
      <c r="AH31">
        <v>7</v>
      </c>
      <c r="AQ31">
        <v>67</v>
      </c>
      <c r="AR31">
        <v>16.399999999999999</v>
      </c>
      <c r="AS31">
        <v>16.600000000000001</v>
      </c>
      <c r="AT31">
        <v>16.100000000000001</v>
      </c>
      <c r="AU31">
        <v>16.100000000000001</v>
      </c>
      <c r="AV31" s="231">
        <v>13.8</v>
      </c>
      <c r="AW31">
        <v>16.899999999999999</v>
      </c>
      <c r="AX31">
        <v>16.399999999999999</v>
      </c>
      <c r="AY31">
        <v>16.399999999999999</v>
      </c>
      <c r="AZ31" s="231">
        <v>14.1</v>
      </c>
      <c r="BA31">
        <v>16.600000000000001</v>
      </c>
      <c r="BB31">
        <v>16.600000000000001</v>
      </c>
      <c r="BC31" s="231">
        <v>14.4</v>
      </c>
      <c r="BD31">
        <v>16.100000000000001</v>
      </c>
      <c r="BE31" s="231">
        <v>13.8</v>
      </c>
      <c r="BF31">
        <v>13.8</v>
      </c>
      <c r="BJ31">
        <v>66</v>
      </c>
      <c r="BK31">
        <v>1.34</v>
      </c>
      <c r="BL31">
        <v>1.37</v>
      </c>
      <c r="BM31">
        <v>2.0299999999999998</v>
      </c>
      <c r="BN31">
        <v>2.08</v>
      </c>
      <c r="BO31">
        <v>1.47</v>
      </c>
      <c r="BP31">
        <v>1.24</v>
      </c>
      <c r="BQ31">
        <v>1.59</v>
      </c>
      <c r="BR31">
        <v>2.0099999999999998</v>
      </c>
    </row>
    <row r="32" spans="1:70" x14ac:dyDescent="0.2">
      <c r="S32">
        <v>68</v>
      </c>
      <c r="T32">
        <v>11</v>
      </c>
      <c r="U32">
        <v>12</v>
      </c>
      <c r="V32">
        <v>11</v>
      </c>
      <c r="W32">
        <v>12</v>
      </c>
      <c r="X32">
        <v>11</v>
      </c>
      <c r="Y32">
        <v>8</v>
      </c>
      <c r="AB32">
        <v>68</v>
      </c>
      <c r="AC32">
        <v>10</v>
      </c>
      <c r="AD32">
        <v>10</v>
      </c>
      <c r="AE32">
        <v>10</v>
      </c>
      <c r="AF32">
        <v>10</v>
      </c>
      <c r="AG32">
        <v>10</v>
      </c>
      <c r="AH32">
        <v>7</v>
      </c>
      <c r="AQ32">
        <v>68</v>
      </c>
      <c r="AR32">
        <v>16.399999999999999</v>
      </c>
      <c r="AS32">
        <v>16.600000000000001</v>
      </c>
      <c r="AT32">
        <v>16.100000000000001</v>
      </c>
      <c r="AU32">
        <v>16.100000000000001</v>
      </c>
      <c r="AV32" s="231">
        <v>13.8</v>
      </c>
      <c r="AW32">
        <v>16.899999999999999</v>
      </c>
      <c r="AX32">
        <v>16.399999999999999</v>
      </c>
      <c r="AY32">
        <v>16.399999999999999</v>
      </c>
      <c r="AZ32" s="231">
        <v>14.1</v>
      </c>
      <c r="BA32">
        <v>16.600000000000001</v>
      </c>
      <c r="BB32">
        <v>16.600000000000001</v>
      </c>
      <c r="BC32" s="231">
        <v>14.4</v>
      </c>
      <c r="BD32">
        <v>16.100000000000001</v>
      </c>
      <c r="BE32" s="231">
        <v>13.8</v>
      </c>
      <c r="BF32">
        <v>13.8</v>
      </c>
      <c r="BJ32">
        <v>67</v>
      </c>
      <c r="BK32">
        <v>1.34</v>
      </c>
      <c r="BL32">
        <v>1.37</v>
      </c>
      <c r="BM32">
        <v>2.0299999999999998</v>
      </c>
      <c r="BN32">
        <v>2.08</v>
      </c>
      <c r="BO32">
        <v>1.47</v>
      </c>
      <c r="BP32">
        <v>1.24</v>
      </c>
      <c r="BQ32">
        <v>1.59</v>
      </c>
      <c r="BR32">
        <v>2.0099999999999998</v>
      </c>
    </row>
    <row r="33" spans="1:70" ht="16" thickBot="1" x14ac:dyDescent="0.25">
      <c r="S33">
        <v>69</v>
      </c>
      <c r="T33">
        <v>11</v>
      </c>
      <c r="U33">
        <v>12</v>
      </c>
      <c r="V33">
        <v>11</v>
      </c>
      <c r="W33">
        <v>12</v>
      </c>
      <c r="X33">
        <v>11</v>
      </c>
      <c r="Y33">
        <v>8</v>
      </c>
      <c r="AB33">
        <v>69</v>
      </c>
      <c r="AC33">
        <v>10</v>
      </c>
      <c r="AD33">
        <v>10</v>
      </c>
      <c r="AE33">
        <v>10</v>
      </c>
      <c r="AF33">
        <v>10</v>
      </c>
      <c r="AG33">
        <v>10</v>
      </c>
      <c r="AH33">
        <v>7</v>
      </c>
      <c r="AQ33">
        <v>69</v>
      </c>
      <c r="AR33">
        <v>16.399999999999999</v>
      </c>
      <c r="AS33">
        <v>16.600000000000001</v>
      </c>
      <c r="AT33">
        <v>16.100000000000001</v>
      </c>
      <c r="AU33">
        <v>16.100000000000001</v>
      </c>
      <c r="AV33" s="231">
        <v>13.8</v>
      </c>
      <c r="AW33">
        <v>16.899999999999999</v>
      </c>
      <c r="AX33">
        <v>16.399999999999999</v>
      </c>
      <c r="AY33">
        <v>16.399999999999999</v>
      </c>
      <c r="AZ33" s="231">
        <v>14.1</v>
      </c>
      <c r="BA33">
        <v>16.600000000000001</v>
      </c>
      <c r="BB33">
        <v>16.600000000000001</v>
      </c>
      <c r="BC33" s="231">
        <v>14.4</v>
      </c>
      <c r="BD33">
        <v>16.100000000000001</v>
      </c>
      <c r="BE33" s="231">
        <v>13.8</v>
      </c>
      <c r="BF33">
        <v>13.8</v>
      </c>
      <c r="BJ33">
        <v>68</v>
      </c>
      <c r="BK33">
        <v>1.34</v>
      </c>
      <c r="BL33">
        <v>1.37</v>
      </c>
      <c r="BM33">
        <v>2.0299999999999998</v>
      </c>
      <c r="BN33">
        <v>2.08</v>
      </c>
      <c r="BO33">
        <v>1.47</v>
      </c>
      <c r="BP33">
        <v>1.24</v>
      </c>
      <c r="BQ33">
        <v>1.59</v>
      </c>
      <c r="BR33">
        <v>2.0099999999999998</v>
      </c>
    </row>
    <row r="34" spans="1:70" x14ac:dyDescent="0.2">
      <c r="A34" s="360" t="s">
        <v>79</v>
      </c>
      <c r="B34" s="361" t="s">
        <v>160</v>
      </c>
      <c r="C34" s="362"/>
      <c r="D34" s="362"/>
      <c r="E34" s="362"/>
      <c r="F34" s="362"/>
      <c r="G34" s="363"/>
      <c r="S34">
        <v>70</v>
      </c>
      <c r="T34">
        <v>10</v>
      </c>
      <c r="U34">
        <v>13</v>
      </c>
      <c r="V34">
        <v>13</v>
      </c>
      <c r="W34">
        <v>10</v>
      </c>
      <c r="X34">
        <v>12</v>
      </c>
      <c r="Y34">
        <v>8</v>
      </c>
      <c r="AB34">
        <v>70</v>
      </c>
      <c r="AC34">
        <v>8</v>
      </c>
      <c r="AD34">
        <v>11</v>
      </c>
      <c r="AE34">
        <v>11</v>
      </c>
      <c r="AF34">
        <v>9</v>
      </c>
      <c r="AG34">
        <v>10</v>
      </c>
      <c r="AH34">
        <v>7</v>
      </c>
      <c r="AQ34">
        <v>70</v>
      </c>
      <c r="AR34">
        <v>16.100000000000001</v>
      </c>
      <c r="AS34">
        <v>14.1</v>
      </c>
      <c r="AT34">
        <v>16.100000000000001</v>
      </c>
      <c r="AU34">
        <v>15.5</v>
      </c>
      <c r="AV34" s="231">
        <v>12.5</v>
      </c>
      <c r="AW34">
        <v>16.399999999999999</v>
      </c>
      <c r="AX34">
        <v>18.100000000000001</v>
      </c>
      <c r="AY34">
        <v>17.600000000000001</v>
      </c>
      <c r="AZ34" s="231">
        <v>15</v>
      </c>
      <c r="BA34">
        <v>16.399999999999999</v>
      </c>
      <c r="BB34">
        <v>15.8</v>
      </c>
      <c r="BC34" s="231">
        <v>12.8</v>
      </c>
      <c r="BD34">
        <v>17.600000000000001</v>
      </c>
      <c r="BE34" s="231">
        <v>15</v>
      </c>
      <c r="BF34">
        <v>14.4</v>
      </c>
      <c r="BJ34">
        <v>69</v>
      </c>
      <c r="BK34">
        <v>1.34</v>
      </c>
      <c r="BL34">
        <v>1.37</v>
      </c>
      <c r="BM34">
        <v>2.0299999999999998</v>
      </c>
      <c r="BN34">
        <v>2.08</v>
      </c>
      <c r="BO34">
        <v>1.47</v>
      </c>
      <c r="BP34">
        <v>1.24</v>
      </c>
      <c r="BQ34">
        <v>1.59</v>
      </c>
      <c r="BR34">
        <v>2.0099999999999998</v>
      </c>
    </row>
    <row r="35" spans="1:70" x14ac:dyDescent="0.2">
      <c r="A35" s="364"/>
      <c r="B35" s="365" t="s">
        <v>67</v>
      </c>
      <c r="C35" s="365" t="s">
        <v>68</v>
      </c>
      <c r="D35" s="365" t="s">
        <v>69</v>
      </c>
      <c r="E35" s="365" t="s">
        <v>70</v>
      </c>
      <c r="F35" s="365" t="s">
        <v>71</v>
      </c>
      <c r="G35" s="366" t="s">
        <v>72</v>
      </c>
      <c r="S35">
        <v>71</v>
      </c>
      <c r="T35">
        <v>10</v>
      </c>
      <c r="U35">
        <v>13</v>
      </c>
      <c r="V35">
        <v>13</v>
      </c>
      <c r="W35">
        <v>10</v>
      </c>
      <c r="X35">
        <v>12</v>
      </c>
      <c r="Y35">
        <v>8</v>
      </c>
      <c r="AB35">
        <v>71</v>
      </c>
      <c r="AC35">
        <v>8</v>
      </c>
      <c r="AD35">
        <v>11</v>
      </c>
      <c r="AE35">
        <v>11</v>
      </c>
      <c r="AF35">
        <v>9</v>
      </c>
      <c r="AG35">
        <v>10</v>
      </c>
      <c r="AH35">
        <v>7</v>
      </c>
      <c r="AQ35">
        <v>71</v>
      </c>
      <c r="AR35">
        <v>16.100000000000001</v>
      </c>
      <c r="AS35">
        <v>14.1</v>
      </c>
      <c r="AT35">
        <v>16.100000000000001</v>
      </c>
      <c r="AU35">
        <v>15.5</v>
      </c>
      <c r="AV35" s="231">
        <v>12.5</v>
      </c>
      <c r="AW35">
        <v>16.399999999999999</v>
      </c>
      <c r="AX35">
        <v>18.100000000000001</v>
      </c>
      <c r="AY35">
        <v>17.600000000000001</v>
      </c>
      <c r="AZ35" s="231">
        <v>15</v>
      </c>
      <c r="BA35">
        <v>16.399999999999999</v>
      </c>
      <c r="BB35">
        <v>15.8</v>
      </c>
      <c r="BC35" s="231">
        <v>12.8</v>
      </c>
      <c r="BD35">
        <v>17.600000000000001</v>
      </c>
      <c r="BE35" s="231">
        <v>15</v>
      </c>
      <c r="BF35">
        <v>14.4</v>
      </c>
      <c r="BJ35">
        <v>70</v>
      </c>
      <c r="BK35">
        <v>1.1200000000000001</v>
      </c>
      <c r="BL35">
        <v>1.34</v>
      </c>
      <c r="BM35">
        <v>2.0299999999999998</v>
      </c>
      <c r="BN35">
        <v>2.08</v>
      </c>
      <c r="BO35">
        <v>1.1200000000000001</v>
      </c>
      <c r="BP35">
        <v>1.24</v>
      </c>
      <c r="BQ35">
        <v>1.59</v>
      </c>
      <c r="BR35">
        <v>2.0099999999999998</v>
      </c>
    </row>
    <row r="36" spans="1:70" x14ac:dyDescent="0.2">
      <c r="A36" s="364" t="s">
        <v>82</v>
      </c>
      <c r="B36" s="365">
        <f>'Standard Tests'!B7</f>
        <v>105.4067</v>
      </c>
      <c r="C36" s="365">
        <f>'Standard Tests'!$B$6</f>
        <v>103.13976599999997</v>
      </c>
      <c r="D36" s="365">
        <f>'Standard Tests'!$B$6</f>
        <v>103.13976599999997</v>
      </c>
      <c r="E36" s="365">
        <f>'Standard Tests'!$B$6</f>
        <v>103.13976599999997</v>
      </c>
      <c r="F36" s="365">
        <f>'Standard Tests'!B8</f>
        <v>105.26920000000001</v>
      </c>
      <c r="G36" s="366">
        <f>'Standard Tests'!$B$6</f>
        <v>103.13976599999997</v>
      </c>
      <c r="S36">
        <v>72</v>
      </c>
      <c r="T36">
        <v>10</v>
      </c>
      <c r="U36">
        <v>13</v>
      </c>
      <c r="V36">
        <v>13</v>
      </c>
      <c r="W36">
        <v>10</v>
      </c>
      <c r="X36">
        <v>12</v>
      </c>
      <c r="Y36">
        <v>8</v>
      </c>
      <c r="AB36">
        <v>72</v>
      </c>
      <c r="AC36">
        <v>8</v>
      </c>
      <c r="AD36">
        <v>11</v>
      </c>
      <c r="AE36">
        <v>11</v>
      </c>
      <c r="AF36">
        <v>9</v>
      </c>
      <c r="AG36">
        <v>10</v>
      </c>
      <c r="AH36">
        <v>7</v>
      </c>
      <c r="AQ36">
        <v>72</v>
      </c>
      <c r="AR36">
        <v>16.100000000000001</v>
      </c>
      <c r="AS36">
        <v>14.1</v>
      </c>
      <c r="AT36">
        <v>16.100000000000001</v>
      </c>
      <c r="AU36">
        <v>15.5</v>
      </c>
      <c r="AV36" s="231">
        <v>12.5</v>
      </c>
      <c r="AW36">
        <v>16.399999999999999</v>
      </c>
      <c r="AX36">
        <v>18.100000000000001</v>
      </c>
      <c r="AY36">
        <v>17.600000000000001</v>
      </c>
      <c r="AZ36" s="231">
        <v>15</v>
      </c>
      <c r="BA36">
        <v>16.399999999999999</v>
      </c>
      <c r="BB36">
        <v>15.8</v>
      </c>
      <c r="BC36" s="231">
        <v>12.8</v>
      </c>
      <c r="BD36">
        <v>17.600000000000001</v>
      </c>
      <c r="BE36" s="231">
        <v>15</v>
      </c>
      <c r="BF36">
        <v>14.4</v>
      </c>
      <c r="BJ36">
        <v>71</v>
      </c>
      <c r="BK36">
        <v>1.1200000000000001</v>
      </c>
      <c r="BL36">
        <v>1.34</v>
      </c>
      <c r="BM36">
        <v>2.0299999999999998</v>
      </c>
      <c r="BN36">
        <v>2.08</v>
      </c>
      <c r="BO36">
        <v>1.1200000000000001</v>
      </c>
      <c r="BP36">
        <v>1.24</v>
      </c>
      <c r="BQ36">
        <v>1.59</v>
      </c>
      <c r="BR36">
        <v>2.0099999999999998</v>
      </c>
    </row>
    <row r="37" spans="1:70" x14ac:dyDescent="0.2">
      <c r="A37" s="364" t="s">
        <v>74</v>
      </c>
      <c r="B37" s="365">
        <f>C5</f>
        <v>120.4067</v>
      </c>
      <c r="C37" s="365">
        <f>C3</f>
        <v>118.13976599999997</v>
      </c>
      <c r="D37" s="365">
        <f>C3</f>
        <v>118.13976599999997</v>
      </c>
      <c r="E37" s="365">
        <f>C3</f>
        <v>118.13976599999997</v>
      </c>
      <c r="F37" s="365">
        <f>C7</f>
        <v>120.26920000000001</v>
      </c>
      <c r="G37" s="366">
        <f>C3</f>
        <v>118.13976599999997</v>
      </c>
      <c r="S37">
        <v>73</v>
      </c>
      <c r="T37">
        <v>10</v>
      </c>
      <c r="U37">
        <v>13</v>
      </c>
      <c r="V37">
        <v>13</v>
      </c>
      <c r="W37">
        <v>10</v>
      </c>
      <c r="X37">
        <v>12</v>
      </c>
      <c r="Y37">
        <v>8</v>
      </c>
      <c r="AB37">
        <v>73</v>
      </c>
      <c r="AC37">
        <v>8</v>
      </c>
      <c r="AD37">
        <v>11</v>
      </c>
      <c r="AE37">
        <v>11</v>
      </c>
      <c r="AF37">
        <v>9</v>
      </c>
      <c r="AG37">
        <v>10</v>
      </c>
      <c r="AH37">
        <v>7</v>
      </c>
      <c r="AQ37">
        <v>73</v>
      </c>
      <c r="AR37">
        <v>16.100000000000001</v>
      </c>
      <c r="AS37">
        <v>14.1</v>
      </c>
      <c r="AT37">
        <v>16.100000000000001</v>
      </c>
      <c r="AU37">
        <v>15.5</v>
      </c>
      <c r="AV37" s="231">
        <v>12.5</v>
      </c>
      <c r="AW37">
        <v>16.399999999999999</v>
      </c>
      <c r="AX37">
        <v>18.100000000000001</v>
      </c>
      <c r="AY37">
        <v>17.600000000000001</v>
      </c>
      <c r="AZ37" s="231">
        <v>15</v>
      </c>
      <c r="BA37">
        <v>16.399999999999999</v>
      </c>
      <c r="BB37">
        <v>15.8</v>
      </c>
      <c r="BC37" s="231">
        <v>12.8</v>
      </c>
      <c r="BD37">
        <v>17.600000000000001</v>
      </c>
      <c r="BE37" s="231">
        <v>15</v>
      </c>
      <c r="BF37">
        <v>14.4</v>
      </c>
      <c r="BJ37">
        <v>72</v>
      </c>
      <c r="BK37">
        <v>1.1200000000000001</v>
      </c>
      <c r="BL37">
        <v>1.34</v>
      </c>
      <c r="BM37">
        <v>2.0299999999999998</v>
      </c>
      <c r="BN37">
        <v>2.08</v>
      </c>
      <c r="BO37">
        <v>1.1200000000000001</v>
      </c>
      <c r="BP37">
        <v>1.24</v>
      </c>
      <c r="BQ37">
        <v>1.59</v>
      </c>
      <c r="BR37">
        <v>2.0099999999999998</v>
      </c>
    </row>
    <row r="38" spans="1:70" x14ac:dyDescent="0.2">
      <c r="A38" s="364" t="s">
        <v>75</v>
      </c>
      <c r="B38" s="365">
        <f t="shared" ref="B38:G38" si="0">B37-30</f>
        <v>90.406700000000001</v>
      </c>
      <c r="C38" s="365">
        <f t="shared" si="0"/>
        <v>88.139765999999966</v>
      </c>
      <c r="D38" s="365">
        <f t="shared" si="0"/>
        <v>88.139765999999966</v>
      </c>
      <c r="E38" s="365">
        <f t="shared" si="0"/>
        <v>88.139765999999966</v>
      </c>
      <c r="F38" s="365">
        <f t="shared" si="0"/>
        <v>90.269200000000012</v>
      </c>
      <c r="G38" s="366">
        <f t="shared" si="0"/>
        <v>88.139765999999966</v>
      </c>
      <c r="S38">
        <v>74</v>
      </c>
      <c r="T38">
        <v>10</v>
      </c>
      <c r="U38">
        <v>13</v>
      </c>
      <c r="V38">
        <v>13</v>
      </c>
      <c r="W38">
        <v>10</v>
      </c>
      <c r="X38">
        <v>12</v>
      </c>
      <c r="Y38">
        <v>8</v>
      </c>
      <c r="AB38">
        <v>74</v>
      </c>
      <c r="AC38">
        <v>8</v>
      </c>
      <c r="AD38">
        <v>11</v>
      </c>
      <c r="AE38">
        <v>11</v>
      </c>
      <c r="AF38">
        <v>9</v>
      </c>
      <c r="AG38">
        <v>10</v>
      </c>
      <c r="AH38">
        <v>7</v>
      </c>
      <c r="AQ38">
        <v>74</v>
      </c>
      <c r="AR38">
        <v>16.100000000000001</v>
      </c>
      <c r="AS38">
        <v>14.1</v>
      </c>
      <c r="AT38">
        <v>16.100000000000001</v>
      </c>
      <c r="AU38">
        <v>15.5</v>
      </c>
      <c r="AV38" s="231">
        <v>12.5</v>
      </c>
      <c r="AW38">
        <v>16.399999999999999</v>
      </c>
      <c r="AX38">
        <v>18.100000000000001</v>
      </c>
      <c r="AY38">
        <v>17.600000000000001</v>
      </c>
      <c r="AZ38" s="231">
        <v>15</v>
      </c>
      <c r="BA38">
        <v>16.399999999999999</v>
      </c>
      <c r="BB38">
        <v>15.8</v>
      </c>
      <c r="BC38" s="231">
        <v>12.8</v>
      </c>
      <c r="BD38">
        <v>17.600000000000001</v>
      </c>
      <c r="BE38" s="231">
        <v>15</v>
      </c>
      <c r="BF38">
        <v>14.4</v>
      </c>
      <c r="BJ38">
        <v>73</v>
      </c>
      <c r="BK38">
        <v>1.1200000000000001</v>
      </c>
      <c r="BL38">
        <v>1.34</v>
      </c>
      <c r="BM38">
        <v>2.0299999999999998</v>
      </c>
      <c r="BN38">
        <v>2.08</v>
      </c>
      <c r="BO38">
        <v>1.1200000000000001</v>
      </c>
      <c r="BP38">
        <v>1.24</v>
      </c>
      <c r="BQ38">
        <v>1.59</v>
      </c>
      <c r="BR38">
        <v>2.0099999999999998</v>
      </c>
    </row>
    <row r="39" spans="1:70" x14ac:dyDescent="0.2">
      <c r="A39" s="364" t="s">
        <v>80</v>
      </c>
      <c r="B39" s="365">
        <f t="shared" ref="B39:G39" si="1">B38-7.5</f>
        <v>82.906700000000001</v>
      </c>
      <c r="C39" s="365">
        <f t="shared" si="1"/>
        <v>80.639765999999966</v>
      </c>
      <c r="D39" s="365">
        <f t="shared" si="1"/>
        <v>80.639765999999966</v>
      </c>
      <c r="E39" s="365">
        <f t="shared" si="1"/>
        <v>80.639765999999966</v>
      </c>
      <c r="F39" s="365">
        <f t="shared" si="1"/>
        <v>82.769200000000012</v>
      </c>
      <c r="G39" s="366">
        <f t="shared" si="1"/>
        <v>80.639765999999966</v>
      </c>
      <c r="S39">
        <v>75</v>
      </c>
      <c r="T39">
        <v>10</v>
      </c>
      <c r="U39">
        <v>13</v>
      </c>
      <c r="V39">
        <v>13</v>
      </c>
      <c r="W39">
        <v>10</v>
      </c>
      <c r="X39">
        <v>12</v>
      </c>
      <c r="Y39">
        <v>8</v>
      </c>
      <c r="AB39">
        <v>75</v>
      </c>
      <c r="AC39">
        <v>8</v>
      </c>
      <c r="AD39">
        <v>11</v>
      </c>
      <c r="AE39">
        <v>11</v>
      </c>
      <c r="AF39">
        <v>9</v>
      </c>
      <c r="AG39">
        <v>10</v>
      </c>
      <c r="AH39">
        <v>7</v>
      </c>
      <c r="AQ39">
        <v>75</v>
      </c>
      <c r="AR39">
        <v>16.100000000000001</v>
      </c>
      <c r="AS39">
        <v>14.1</v>
      </c>
      <c r="AT39">
        <v>16.100000000000001</v>
      </c>
      <c r="AU39">
        <v>15.5</v>
      </c>
      <c r="AV39" s="231">
        <v>12.5</v>
      </c>
      <c r="AW39">
        <v>16.399999999999999</v>
      </c>
      <c r="AX39">
        <v>18.100000000000001</v>
      </c>
      <c r="AY39">
        <v>17.600000000000001</v>
      </c>
      <c r="AZ39" s="231">
        <v>15</v>
      </c>
      <c r="BA39">
        <v>16.399999999999999</v>
      </c>
      <c r="BB39">
        <v>15.8</v>
      </c>
      <c r="BC39" s="231">
        <v>12.8</v>
      </c>
      <c r="BD39">
        <v>17.600000000000001</v>
      </c>
      <c r="BE39" s="231">
        <v>15</v>
      </c>
      <c r="BF39">
        <v>14.4</v>
      </c>
      <c r="BJ39">
        <v>74</v>
      </c>
      <c r="BK39">
        <v>1.1200000000000001</v>
      </c>
      <c r="BL39">
        <v>1.34</v>
      </c>
      <c r="BM39">
        <v>2.0299999999999998</v>
      </c>
      <c r="BN39">
        <v>2.08</v>
      </c>
      <c r="BO39">
        <v>1.1200000000000001</v>
      </c>
      <c r="BP39">
        <v>1.24</v>
      </c>
      <c r="BQ39">
        <v>1.59</v>
      </c>
      <c r="BR39">
        <v>2.0099999999999998</v>
      </c>
    </row>
    <row r="40" spans="1:70" x14ac:dyDescent="0.2">
      <c r="A40" s="364" t="s">
        <v>81</v>
      </c>
      <c r="B40" s="365">
        <f t="shared" ref="B40:G40" si="2">B38-15</f>
        <v>75.406700000000001</v>
      </c>
      <c r="C40" s="365">
        <f t="shared" si="2"/>
        <v>73.139765999999966</v>
      </c>
      <c r="D40" s="365">
        <f t="shared" si="2"/>
        <v>73.139765999999966</v>
      </c>
      <c r="E40" s="365">
        <f t="shared" si="2"/>
        <v>73.139765999999966</v>
      </c>
      <c r="F40" s="365">
        <f t="shared" si="2"/>
        <v>75.269200000000012</v>
      </c>
      <c r="G40" s="366">
        <f t="shared" si="2"/>
        <v>73.139765999999966</v>
      </c>
      <c r="S40">
        <v>76</v>
      </c>
      <c r="T40">
        <v>10</v>
      </c>
      <c r="U40">
        <v>13</v>
      </c>
      <c r="V40">
        <v>13</v>
      </c>
      <c r="W40">
        <v>10</v>
      </c>
      <c r="X40">
        <v>12</v>
      </c>
      <c r="Y40">
        <v>8</v>
      </c>
      <c r="AB40">
        <v>76</v>
      </c>
      <c r="AC40">
        <v>8</v>
      </c>
      <c r="AD40">
        <v>11</v>
      </c>
      <c r="AE40">
        <v>11</v>
      </c>
      <c r="AF40">
        <v>9</v>
      </c>
      <c r="AG40">
        <v>10</v>
      </c>
      <c r="AH40">
        <v>7</v>
      </c>
      <c r="AQ40">
        <v>76</v>
      </c>
      <c r="AR40">
        <v>16.100000000000001</v>
      </c>
      <c r="AS40">
        <v>14.1</v>
      </c>
      <c r="AT40">
        <v>16.100000000000001</v>
      </c>
      <c r="AU40">
        <v>15.5</v>
      </c>
      <c r="AV40" s="231">
        <v>12.5</v>
      </c>
      <c r="AW40">
        <v>16.399999999999999</v>
      </c>
      <c r="AX40">
        <v>18.100000000000001</v>
      </c>
      <c r="AY40">
        <v>17.600000000000001</v>
      </c>
      <c r="AZ40" s="231">
        <v>15</v>
      </c>
      <c r="BA40">
        <v>16.399999999999999</v>
      </c>
      <c r="BB40">
        <v>15.8</v>
      </c>
      <c r="BC40" s="231">
        <v>12.8</v>
      </c>
      <c r="BD40">
        <v>17.600000000000001</v>
      </c>
      <c r="BE40" s="231">
        <v>15</v>
      </c>
      <c r="BF40">
        <v>14.4</v>
      </c>
      <c r="BJ40">
        <v>75</v>
      </c>
      <c r="BK40">
        <v>1.1200000000000001</v>
      </c>
      <c r="BL40">
        <v>1.34</v>
      </c>
      <c r="BM40">
        <v>2.0299999999999998</v>
      </c>
      <c r="BN40">
        <v>2.08</v>
      </c>
      <c r="BO40">
        <v>1.1200000000000001</v>
      </c>
      <c r="BP40">
        <v>1.24</v>
      </c>
      <c r="BQ40">
        <v>1.59</v>
      </c>
      <c r="BR40">
        <v>2.0099999999999998</v>
      </c>
    </row>
    <row r="41" spans="1:70" ht="16" thickBot="1" x14ac:dyDescent="0.25">
      <c r="A41" s="367" t="s">
        <v>15</v>
      </c>
      <c r="B41" s="368">
        <v>30</v>
      </c>
      <c r="C41" s="368">
        <v>30</v>
      </c>
      <c r="D41" s="368">
        <v>30</v>
      </c>
      <c r="E41" s="368">
        <v>30</v>
      </c>
      <c r="F41" s="368">
        <v>30</v>
      </c>
      <c r="G41" s="369">
        <v>30</v>
      </c>
      <c r="S41">
        <v>77</v>
      </c>
      <c r="T41">
        <v>10</v>
      </c>
      <c r="U41">
        <v>13</v>
      </c>
      <c r="V41">
        <v>13</v>
      </c>
      <c r="W41">
        <v>10</v>
      </c>
      <c r="X41">
        <v>12</v>
      </c>
      <c r="Y41">
        <v>8</v>
      </c>
      <c r="AB41">
        <v>77</v>
      </c>
      <c r="AC41">
        <v>8</v>
      </c>
      <c r="AD41">
        <v>11</v>
      </c>
      <c r="AE41">
        <v>11</v>
      </c>
      <c r="AF41">
        <v>9</v>
      </c>
      <c r="AG41">
        <v>10</v>
      </c>
      <c r="AH41">
        <v>7</v>
      </c>
      <c r="AQ41">
        <v>77</v>
      </c>
      <c r="AR41">
        <v>16.100000000000001</v>
      </c>
      <c r="AS41">
        <v>14.1</v>
      </c>
      <c r="AT41">
        <v>16.100000000000001</v>
      </c>
      <c r="AU41">
        <v>15.5</v>
      </c>
      <c r="AV41" s="231">
        <v>12.5</v>
      </c>
      <c r="AW41">
        <v>16.399999999999999</v>
      </c>
      <c r="AX41">
        <v>18.100000000000001</v>
      </c>
      <c r="AY41">
        <v>17.600000000000001</v>
      </c>
      <c r="AZ41" s="231">
        <v>15</v>
      </c>
      <c r="BA41">
        <v>16.399999999999999</v>
      </c>
      <c r="BB41">
        <v>15.8</v>
      </c>
      <c r="BC41" s="231">
        <v>12.8</v>
      </c>
      <c r="BD41">
        <v>17.600000000000001</v>
      </c>
      <c r="BE41" s="231">
        <v>15</v>
      </c>
      <c r="BF41">
        <v>14.4</v>
      </c>
      <c r="BJ41">
        <v>76</v>
      </c>
      <c r="BK41">
        <v>1.1200000000000001</v>
      </c>
      <c r="BL41">
        <v>1.34</v>
      </c>
      <c r="BM41">
        <v>2.0299999999999998</v>
      </c>
      <c r="BN41">
        <v>2.08</v>
      </c>
      <c r="BO41">
        <v>1.1200000000000001</v>
      </c>
      <c r="BP41">
        <v>1.24</v>
      </c>
      <c r="BQ41">
        <v>1.59</v>
      </c>
      <c r="BR41">
        <v>2.0099999999999998</v>
      </c>
    </row>
    <row r="42" spans="1:70" x14ac:dyDescent="0.2">
      <c r="S42">
        <v>78</v>
      </c>
      <c r="T42">
        <v>10</v>
      </c>
      <c r="U42">
        <v>13</v>
      </c>
      <c r="V42">
        <v>13</v>
      </c>
      <c r="W42">
        <v>10</v>
      </c>
      <c r="X42">
        <v>12</v>
      </c>
      <c r="Y42">
        <v>8</v>
      </c>
      <c r="AB42">
        <v>78</v>
      </c>
      <c r="AC42">
        <v>8</v>
      </c>
      <c r="AD42">
        <v>11</v>
      </c>
      <c r="AE42">
        <v>11</v>
      </c>
      <c r="AF42">
        <v>9</v>
      </c>
      <c r="AG42">
        <v>10</v>
      </c>
      <c r="AH42">
        <v>7</v>
      </c>
      <c r="AQ42">
        <v>78</v>
      </c>
      <c r="AR42">
        <v>16.100000000000001</v>
      </c>
      <c r="AS42">
        <v>14.1</v>
      </c>
      <c r="AT42">
        <v>16.100000000000001</v>
      </c>
      <c r="AU42">
        <v>15.5</v>
      </c>
      <c r="AV42" s="231">
        <v>12.5</v>
      </c>
      <c r="AW42">
        <v>16.399999999999999</v>
      </c>
      <c r="AX42">
        <v>18.100000000000001</v>
      </c>
      <c r="AY42">
        <v>17.600000000000001</v>
      </c>
      <c r="AZ42" s="231">
        <v>15</v>
      </c>
      <c r="BA42">
        <v>16.399999999999999</v>
      </c>
      <c r="BB42">
        <v>15.8</v>
      </c>
      <c r="BC42" s="231">
        <v>12.8</v>
      </c>
      <c r="BD42">
        <v>17.600000000000001</v>
      </c>
      <c r="BE42" s="231">
        <v>15</v>
      </c>
      <c r="BF42">
        <v>14.4</v>
      </c>
      <c r="BJ42">
        <v>77</v>
      </c>
      <c r="BK42">
        <v>1.1200000000000001</v>
      </c>
      <c r="BL42">
        <v>1.34</v>
      </c>
      <c r="BM42">
        <v>2.0299999999999998</v>
      </c>
      <c r="BN42">
        <v>2.08</v>
      </c>
      <c r="BO42">
        <v>1.1200000000000001</v>
      </c>
      <c r="BP42">
        <v>1.24</v>
      </c>
      <c r="BQ42">
        <v>1.59</v>
      </c>
      <c r="BR42">
        <v>2.0099999999999998</v>
      </c>
    </row>
    <row r="43" spans="1:70" x14ac:dyDescent="0.2">
      <c r="S43">
        <v>79</v>
      </c>
      <c r="T43">
        <v>10</v>
      </c>
      <c r="U43">
        <v>13</v>
      </c>
      <c r="V43">
        <v>13</v>
      </c>
      <c r="W43">
        <v>10</v>
      </c>
      <c r="X43">
        <v>12</v>
      </c>
      <c r="Y43">
        <v>8</v>
      </c>
      <c r="AB43">
        <v>79</v>
      </c>
      <c r="AC43">
        <v>8</v>
      </c>
      <c r="AD43">
        <v>11</v>
      </c>
      <c r="AE43">
        <v>11</v>
      </c>
      <c r="AF43">
        <v>9</v>
      </c>
      <c r="AG43">
        <v>10</v>
      </c>
      <c r="AH43">
        <v>7</v>
      </c>
      <c r="AQ43">
        <v>79</v>
      </c>
      <c r="AR43">
        <v>16.100000000000001</v>
      </c>
      <c r="AS43">
        <v>14.1</v>
      </c>
      <c r="AT43">
        <v>16.100000000000001</v>
      </c>
      <c r="AU43">
        <v>15.5</v>
      </c>
      <c r="AV43" s="231">
        <v>12.5</v>
      </c>
      <c r="AW43">
        <v>16.399999999999999</v>
      </c>
      <c r="AX43">
        <v>18.100000000000001</v>
      </c>
      <c r="AY43">
        <v>17.600000000000001</v>
      </c>
      <c r="AZ43" s="231">
        <v>15</v>
      </c>
      <c r="BA43">
        <v>16.399999999999999</v>
      </c>
      <c r="BB43">
        <v>15.8</v>
      </c>
      <c r="BC43" s="231">
        <v>12.8</v>
      </c>
      <c r="BD43">
        <v>17.600000000000001</v>
      </c>
      <c r="BE43" s="231">
        <v>15</v>
      </c>
      <c r="BF43">
        <v>14.4</v>
      </c>
      <c r="BJ43">
        <v>78</v>
      </c>
      <c r="BK43">
        <v>1.1200000000000001</v>
      </c>
      <c r="BL43">
        <v>1.34</v>
      </c>
      <c r="BM43">
        <v>2.0299999999999998</v>
      </c>
      <c r="BN43">
        <v>2.08</v>
      </c>
      <c r="BO43">
        <v>1.1200000000000001</v>
      </c>
      <c r="BP43">
        <v>1.24</v>
      </c>
      <c r="BQ43">
        <v>1.59</v>
      </c>
      <c r="BR43">
        <v>2.0099999999999998</v>
      </c>
    </row>
    <row r="44" spans="1:70" x14ac:dyDescent="0.2">
      <c r="S44">
        <v>80</v>
      </c>
      <c r="T44">
        <v>9</v>
      </c>
      <c r="U44">
        <v>14</v>
      </c>
      <c r="V44">
        <v>12</v>
      </c>
      <c r="W44">
        <v>11</v>
      </c>
      <c r="X44">
        <v>13</v>
      </c>
      <c r="Y44">
        <v>7</v>
      </c>
      <c r="AB44">
        <v>80</v>
      </c>
      <c r="AC44">
        <v>8</v>
      </c>
      <c r="AD44">
        <v>12</v>
      </c>
      <c r="AE44">
        <v>10</v>
      </c>
      <c r="AF44">
        <v>10</v>
      </c>
      <c r="AG44">
        <v>11</v>
      </c>
      <c r="AH44">
        <v>6</v>
      </c>
      <c r="AQ44">
        <v>80</v>
      </c>
      <c r="AR44">
        <v>16.600000000000001</v>
      </c>
      <c r="AS44">
        <v>14.7</v>
      </c>
      <c r="AT44">
        <v>15.3</v>
      </c>
      <c r="AU44">
        <v>15.8</v>
      </c>
      <c r="AV44" s="231">
        <v>11.8</v>
      </c>
      <c r="AW44">
        <v>17.899999999999999</v>
      </c>
      <c r="AX44">
        <v>18.399999999999999</v>
      </c>
      <c r="AY44">
        <v>18.8</v>
      </c>
      <c r="AZ44" s="231">
        <v>15.6</v>
      </c>
      <c r="BA44">
        <v>16.600000000000001</v>
      </c>
      <c r="BB44">
        <v>17.2</v>
      </c>
      <c r="BC44" s="231">
        <v>13.5</v>
      </c>
      <c r="BD44">
        <v>17.600000000000001</v>
      </c>
      <c r="BE44" s="231">
        <v>14.1</v>
      </c>
      <c r="BF44">
        <v>14.7</v>
      </c>
      <c r="BJ44">
        <v>79</v>
      </c>
      <c r="BK44">
        <v>1.1200000000000001</v>
      </c>
      <c r="BL44">
        <v>1.34</v>
      </c>
      <c r="BM44">
        <v>2.0299999999999998</v>
      </c>
      <c r="BN44">
        <v>2.08</v>
      </c>
      <c r="BO44">
        <v>1.1200000000000001</v>
      </c>
      <c r="BP44">
        <v>1.24</v>
      </c>
      <c r="BQ44">
        <v>1.59</v>
      </c>
      <c r="BR44">
        <v>2.0099999999999998</v>
      </c>
    </row>
    <row r="45" spans="1:70" x14ac:dyDescent="0.2">
      <c r="S45">
        <v>81</v>
      </c>
      <c r="T45">
        <v>9</v>
      </c>
      <c r="U45">
        <v>14</v>
      </c>
      <c r="V45">
        <v>12</v>
      </c>
      <c r="W45">
        <v>11</v>
      </c>
      <c r="X45">
        <v>13</v>
      </c>
      <c r="Y45">
        <v>7</v>
      </c>
      <c r="AB45">
        <v>81</v>
      </c>
      <c r="AC45">
        <v>8</v>
      </c>
      <c r="AD45">
        <v>12</v>
      </c>
      <c r="AE45">
        <v>10</v>
      </c>
      <c r="AF45">
        <v>10</v>
      </c>
      <c r="AG45">
        <v>11</v>
      </c>
      <c r="AH45">
        <v>6</v>
      </c>
      <c r="AQ45">
        <v>81</v>
      </c>
      <c r="AR45">
        <v>16.600000000000001</v>
      </c>
      <c r="AS45">
        <v>14.7</v>
      </c>
      <c r="AT45">
        <v>15.3</v>
      </c>
      <c r="AU45">
        <v>15.8</v>
      </c>
      <c r="AV45" s="231">
        <v>11.8</v>
      </c>
      <c r="AW45">
        <v>17.899999999999999</v>
      </c>
      <c r="AX45">
        <v>18.399999999999999</v>
      </c>
      <c r="AY45">
        <v>18.8</v>
      </c>
      <c r="AZ45" s="231">
        <v>15.6</v>
      </c>
      <c r="BA45">
        <v>16.600000000000001</v>
      </c>
      <c r="BB45">
        <v>17.2</v>
      </c>
      <c r="BC45" s="231">
        <v>13.5</v>
      </c>
      <c r="BD45">
        <v>17.600000000000001</v>
      </c>
      <c r="BE45" s="231">
        <v>14.1</v>
      </c>
      <c r="BF45">
        <v>14.7</v>
      </c>
      <c r="BJ45">
        <v>80</v>
      </c>
      <c r="BK45">
        <v>1.2</v>
      </c>
      <c r="BL45">
        <v>1.2</v>
      </c>
      <c r="BM45">
        <v>2.0299999999999998</v>
      </c>
      <c r="BN45">
        <v>2.08</v>
      </c>
      <c r="BO45">
        <v>1.24</v>
      </c>
      <c r="BP45">
        <v>1.24</v>
      </c>
      <c r="BQ45">
        <v>1.59</v>
      </c>
      <c r="BR45">
        <v>2.0099999999999998</v>
      </c>
    </row>
    <row r="46" spans="1:70" x14ac:dyDescent="0.2">
      <c r="S46">
        <v>82</v>
      </c>
      <c r="T46">
        <v>9</v>
      </c>
      <c r="U46">
        <v>14</v>
      </c>
      <c r="V46">
        <v>12</v>
      </c>
      <c r="W46">
        <v>11</v>
      </c>
      <c r="X46">
        <v>13</v>
      </c>
      <c r="Y46">
        <v>7</v>
      </c>
      <c r="AB46">
        <v>82</v>
      </c>
      <c r="AC46">
        <v>8</v>
      </c>
      <c r="AD46">
        <v>12</v>
      </c>
      <c r="AE46">
        <v>10</v>
      </c>
      <c r="AF46">
        <v>10</v>
      </c>
      <c r="AG46">
        <v>11</v>
      </c>
      <c r="AH46">
        <v>6</v>
      </c>
      <c r="AQ46">
        <v>82</v>
      </c>
      <c r="AR46">
        <v>16.600000000000001</v>
      </c>
      <c r="AS46">
        <v>14.7</v>
      </c>
      <c r="AT46">
        <v>15.3</v>
      </c>
      <c r="AU46">
        <v>15.8</v>
      </c>
      <c r="AV46" s="231">
        <v>11.8</v>
      </c>
      <c r="AW46">
        <v>17.899999999999999</v>
      </c>
      <c r="AX46">
        <v>18.399999999999999</v>
      </c>
      <c r="AY46">
        <v>18.8</v>
      </c>
      <c r="AZ46" s="231">
        <v>15.6</v>
      </c>
      <c r="BA46">
        <v>16.600000000000001</v>
      </c>
      <c r="BB46">
        <v>17.2</v>
      </c>
      <c r="BC46" s="231">
        <v>13.5</v>
      </c>
      <c r="BD46">
        <v>17.600000000000001</v>
      </c>
      <c r="BE46" s="231">
        <v>14.1</v>
      </c>
      <c r="BF46">
        <v>14.7</v>
      </c>
      <c r="BJ46">
        <v>81</v>
      </c>
      <c r="BK46">
        <v>1.2</v>
      </c>
      <c r="BL46">
        <v>1.2</v>
      </c>
      <c r="BM46">
        <v>2.0299999999999998</v>
      </c>
      <c r="BN46">
        <v>2.08</v>
      </c>
      <c r="BO46">
        <v>1.24</v>
      </c>
      <c r="BP46">
        <v>1.24</v>
      </c>
      <c r="BQ46">
        <v>1.59</v>
      </c>
      <c r="BR46">
        <v>2.0099999999999998</v>
      </c>
    </row>
    <row r="47" spans="1:70" x14ac:dyDescent="0.2">
      <c r="A47" s="5" t="s">
        <v>158</v>
      </c>
      <c r="S47">
        <v>83</v>
      </c>
      <c r="T47">
        <v>9</v>
      </c>
      <c r="U47">
        <v>14</v>
      </c>
      <c r="V47">
        <v>12</v>
      </c>
      <c r="W47">
        <v>11</v>
      </c>
      <c r="X47">
        <v>13</v>
      </c>
      <c r="Y47">
        <v>7</v>
      </c>
      <c r="AB47">
        <v>83</v>
      </c>
      <c r="AC47">
        <v>8</v>
      </c>
      <c r="AD47">
        <v>12</v>
      </c>
      <c r="AE47">
        <v>10</v>
      </c>
      <c r="AF47">
        <v>10</v>
      </c>
      <c r="AG47">
        <v>11</v>
      </c>
      <c r="AH47">
        <v>6</v>
      </c>
      <c r="AQ47">
        <v>83</v>
      </c>
      <c r="AR47">
        <v>16.600000000000001</v>
      </c>
      <c r="AS47">
        <v>14.7</v>
      </c>
      <c r="AT47">
        <v>15.3</v>
      </c>
      <c r="AU47">
        <v>15.8</v>
      </c>
      <c r="AV47" s="231">
        <v>11.8</v>
      </c>
      <c r="AW47">
        <v>17.899999999999999</v>
      </c>
      <c r="AX47">
        <v>18.399999999999999</v>
      </c>
      <c r="AY47">
        <v>18.8</v>
      </c>
      <c r="AZ47" s="231">
        <v>15.6</v>
      </c>
      <c r="BA47">
        <v>16.600000000000001</v>
      </c>
      <c r="BB47">
        <v>17.2</v>
      </c>
      <c r="BC47" s="231">
        <v>13.5</v>
      </c>
      <c r="BD47">
        <v>17.600000000000001</v>
      </c>
      <c r="BE47" s="231">
        <v>14.1</v>
      </c>
      <c r="BF47">
        <v>14.7</v>
      </c>
      <c r="BJ47">
        <v>82</v>
      </c>
      <c r="BK47">
        <v>1.2</v>
      </c>
      <c r="BL47">
        <v>1.2</v>
      </c>
      <c r="BM47">
        <v>2.0299999999999998</v>
      </c>
      <c r="BN47">
        <v>2.08</v>
      </c>
      <c r="BO47">
        <v>1.24</v>
      </c>
      <c r="BP47">
        <v>1.24</v>
      </c>
      <c r="BQ47">
        <v>1.59</v>
      </c>
      <c r="BR47">
        <v>2.0099999999999998</v>
      </c>
    </row>
    <row r="48" spans="1:70" x14ac:dyDescent="0.2">
      <c r="A48" s="30"/>
      <c r="B48" s="8" t="s">
        <v>150</v>
      </c>
      <c r="C48" s="8" t="s">
        <v>152</v>
      </c>
      <c r="D48" s="8" t="s">
        <v>159</v>
      </c>
      <c r="E48" s="8" t="s">
        <v>151</v>
      </c>
      <c r="S48">
        <v>84</v>
      </c>
      <c r="T48">
        <v>9</v>
      </c>
      <c r="U48">
        <v>14</v>
      </c>
      <c r="V48">
        <v>12</v>
      </c>
      <c r="W48">
        <v>11</v>
      </c>
      <c r="X48">
        <v>13</v>
      </c>
      <c r="Y48">
        <v>7</v>
      </c>
      <c r="AB48">
        <v>84</v>
      </c>
      <c r="AC48">
        <v>8</v>
      </c>
      <c r="AD48">
        <v>12</v>
      </c>
      <c r="AE48">
        <v>10</v>
      </c>
      <c r="AF48">
        <v>10</v>
      </c>
      <c r="AG48">
        <v>11</v>
      </c>
      <c r="AH48">
        <v>6</v>
      </c>
      <c r="AQ48">
        <v>84</v>
      </c>
      <c r="AR48">
        <v>16.600000000000001</v>
      </c>
      <c r="AS48">
        <v>14.7</v>
      </c>
      <c r="AT48">
        <v>15.3</v>
      </c>
      <c r="AU48">
        <v>15.8</v>
      </c>
      <c r="AV48" s="231">
        <v>11.8</v>
      </c>
      <c r="AW48">
        <v>17.899999999999999</v>
      </c>
      <c r="AX48">
        <v>18.399999999999999</v>
      </c>
      <c r="AY48">
        <v>18.8</v>
      </c>
      <c r="AZ48" s="231">
        <v>15.6</v>
      </c>
      <c r="BA48">
        <v>16.600000000000001</v>
      </c>
      <c r="BB48">
        <v>17.2</v>
      </c>
      <c r="BC48" s="231">
        <v>13.5</v>
      </c>
      <c r="BD48">
        <v>17.600000000000001</v>
      </c>
      <c r="BE48" s="231">
        <v>14.1</v>
      </c>
      <c r="BF48">
        <v>14.7</v>
      </c>
      <c r="BJ48">
        <v>83</v>
      </c>
      <c r="BK48">
        <v>1.2</v>
      </c>
      <c r="BL48">
        <v>1.2</v>
      </c>
      <c r="BM48">
        <v>2.0299999999999998</v>
      </c>
      <c r="BN48">
        <v>2.08</v>
      </c>
      <c r="BO48">
        <v>1.24</v>
      </c>
      <c r="BP48">
        <v>1.24</v>
      </c>
      <c r="BQ48">
        <v>1.59</v>
      </c>
      <c r="BR48">
        <v>2.0099999999999998</v>
      </c>
    </row>
    <row r="49" spans="1:70" x14ac:dyDescent="0.2">
      <c r="A49" s="30" t="s">
        <v>153</v>
      </c>
      <c r="B49" s="31">
        <v>23.5</v>
      </c>
      <c r="C49" s="32">
        <v>28.3</v>
      </c>
      <c r="D49" s="32">
        <v>26.7</v>
      </c>
      <c r="E49" s="33">
        <v>23.9</v>
      </c>
      <c r="S49">
        <v>85</v>
      </c>
      <c r="T49">
        <v>9</v>
      </c>
      <c r="U49">
        <v>14</v>
      </c>
      <c r="V49">
        <v>12</v>
      </c>
      <c r="W49">
        <v>11</v>
      </c>
      <c r="X49">
        <v>13</v>
      </c>
      <c r="Y49">
        <v>7</v>
      </c>
      <c r="AB49">
        <v>85</v>
      </c>
      <c r="AC49">
        <v>8</v>
      </c>
      <c r="AD49">
        <v>12</v>
      </c>
      <c r="AE49">
        <v>10</v>
      </c>
      <c r="AF49">
        <v>10</v>
      </c>
      <c r="AG49">
        <v>11</v>
      </c>
      <c r="AH49">
        <v>6</v>
      </c>
      <c r="AQ49">
        <v>85</v>
      </c>
      <c r="AR49">
        <v>16.600000000000001</v>
      </c>
      <c r="AS49">
        <v>14.7</v>
      </c>
      <c r="AT49">
        <v>15.3</v>
      </c>
      <c r="AU49">
        <v>15.8</v>
      </c>
      <c r="AV49" s="231">
        <v>11.8</v>
      </c>
      <c r="AW49">
        <v>17.899999999999999</v>
      </c>
      <c r="AX49">
        <v>18.399999999999999</v>
      </c>
      <c r="AY49">
        <v>18.8</v>
      </c>
      <c r="AZ49" s="231">
        <v>15.6</v>
      </c>
      <c r="BA49">
        <v>16.600000000000001</v>
      </c>
      <c r="BB49">
        <v>17.2</v>
      </c>
      <c r="BC49" s="231">
        <v>13.5</v>
      </c>
      <c r="BD49">
        <v>17.600000000000001</v>
      </c>
      <c r="BE49" s="231">
        <v>14.1</v>
      </c>
      <c r="BF49">
        <v>14.7</v>
      </c>
      <c r="BJ49">
        <v>84</v>
      </c>
      <c r="BK49">
        <v>1.2</v>
      </c>
      <c r="BL49">
        <v>1.2</v>
      </c>
      <c r="BM49">
        <v>2.0299999999999998</v>
      </c>
      <c r="BN49">
        <v>2.08</v>
      </c>
      <c r="BO49">
        <v>1.24</v>
      </c>
      <c r="BP49">
        <v>1.24</v>
      </c>
      <c r="BQ49">
        <v>1.59</v>
      </c>
      <c r="BR49">
        <v>2.0099999999999998</v>
      </c>
    </row>
    <row r="50" spans="1:70" x14ac:dyDescent="0.2">
      <c r="A50" s="30" t="s">
        <v>154</v>
      </c>
      <c r="B50" s="34">
        <v>6.8</v>
      </c>
      <c r="C50" s="34">
        <v>19</v>
      </c>
      <c r="D50" s="34">
        <v>18.3</v>
      </c>
      <c r="E50" s="32">
        <v>28.6</v>
      </c>
      <c r="S50">
        <v>86</v>
      </c>
      <c r="T50">
        <v>9</v>
      </c>
      <c r="U50">
        <v>14</v>
      </c>
      <c r="V50">
        <v>12</v>
      </c>
      <c r="W50">
        <v>11</v>
      </c>
      <c r="X50">
        <v>13</v>
      </c>
      <c r="Y50">
        <v>7</v>
      </c>
      <c r="AB50">
        <v>86</v>
      </c>
      <c r="AC50">
        <v>8</v>
      </c>
      <c r="AD50">
        <v>12</v>
      </c>
      <c r="AE50">
        <v>10</v>
      </c>
      <c r="AF50">
        <v>10</v>
      </c>
      <c r="AG50">
        <v>11</v>
      </c>
      <c r="AH50">
        <v>6</v>
      </c>
      <c r="AQ50">
        <v>86</v>
      </c>
      <c r="AR50">
        <v>16.600000000000001</v>
      </c>
      <c r="AS50">
        <v>14.7</v>
      </c>
      <c r="AT50">
        <v>15.3</v>
      </c>
      <c r="AU50">
        <v>15.8</v>
      </c>
      <c r="AV50" s="231">
        <v>11.8</v>
      </c>
      <c r="AW50">
        <v>17.899999999999999</v>
      </c>
      <c r="AX50">
        <v>18.399999999999999</v>
      </c>
      <c r="AY50">
        <v>18.8</v>
      </c>
      <c r="AZ50" s="231">
        <v>15.6</v>
      </c>
      <c r="BA50">
        <v>16.600000000000001</v>
      </c>
      <c r="BB50">
        <v>17.2</v>
      </c>
      <c r="BC50" s="231">
        <v>13.5</v>
      </c>
      <c r="BD50">
        <v>17.600000000000001</v>
      </c>
      <c r="BE50" s="231">
        <v>14.1</v>
      </c>
      <c r="BF50">
        <v>14.7</v>
      </c>
      <c r="BJ50">
        <v>85</v>
      </c>
      <c r="BK50">
        <v>1.2</v>
      </c>
      <c r="BL50">
        <v>1.2</v>
      </c>
      <c r="BM50">
        <v>2.0299999999999998</v>
      </c>
      <c r="BN50">
        <v>2.08</v>
      </c>
      <c r="BO50">
        <v>1.24</v>
      </c>
      <c r="BP50">
        <v>1.24</v>
      </c>
      <c r="BQ50">
        <v>1.59</v>
      </c>
      <c r="BR50">
        <v>2.0099999999999998</v>
      </c>
    </row>
    <row r="51" spans="1:70" x14ac:dyDescent="0.2">
      <c r="A51" s="30" t="s">
        <v>155</v>
      </c>
      <c r="B51" s="34">
        <v>12.4</v>
      </c>
      <c r="C51" s="35">
        <v>25.4</v>
      </c>
      <c r="D51" s="35">
        <v>25.5</v>
      </c>
      <c r="E51" s="35">
        <v>25.4</v>
      </c>
      <c r="S51">
        <v>87</v>
      </c>
      <c r="T51">
        <v>9</v>
      </c>
      <c r="U51">
        <v>14</v>
      </c>
      <c r="V51">
        <v>12</v>
      </c>
      <c r="W51">
        <v>11</v>
      </c>
      <c r="X51">
        <v>13</v>
      </c>
      <c r="Y51">
        <v>7</v>
      </c>
      <c r="AB51">
        <v>87</v>
      </c>
      <c r="AC51">
        <v>8</v>
      </c>
      <c r="AD51">
        <v>12</v>
      </c>
      <c r="AE51">
        <v>10</v>
      </c>
      <c r="AF51">
        <v>10</v>
      </c>
      <c r="AG51">
        <v>11</v>
      </c>
      <c r="AH51">
        <v>6</v>
      </c>
      <c r="AQ51">
        <v>87</v>
      </c>
      <c r="AR51">
        <v>16.600000000000001</v>
      </c>
      <c r="AS51">
        <v>14.7</v>
      </c>
      <c r="AT51">
        <v>15.3</v>
      </c>
      <c r="AU51">
        <v>15.8</v>
      </c>
      <c r="AV51" s="231">
        <v>11.8</v>
      </c>
      <c r="AW51">
        <v>17.899999999999999</v>
      </c>
      <c r="AX51">
        <v>18.399999999999999</v>
      </c>
      <c r="AY51">
        <v>18.8</v>
      </c>
      <c r="AZ51" s="231">
        <v>15.6</v>
      </c>
      <c r="BA51">
        <v>16.600000000000001</v>
      </c>
      <c r="BB51">
        <v>17.2</v>
      </c>
      <c r="BC51" s="231">
        <v>13.5</v>
      </c>
      <c r="BD51">
        <v>17.600000000000001</v>
      </c>
      <c r="BE51" s="231">
        <v>14.1</v>
      </c>
      <c r="BF51">
        <v>14.7</v>
      </c>
      <c r="BJ51">
        <v>86</v>
      </c>
      <c r="BK51">
        <v>1.2</v>
      </c>
      <c r="BL51">
        <v>1.2</v>
      </c>
      <c r="BM51">
        <v>2.0299999999999998</v>
      </c>
      <c r="BN51">
        <v>2.08</v>
      </c>
      <c r="BO51">
        <v>1.24</v>
      </c>
      <c r="BP51">
        <v>1.24</v>
      </c>
      <c r="BQ51">
        <v>1.59</v>
      </c>
      <c r="BR51">
        <v>2.0099999999999998</v>
      </c>
    </row>
    <row r="52" spans="1:70" x14ac:dyDescent="0.2">
      <c r="A52" s="30" t="s">
        <v>156</v>
      </c>
      <c r="B52" s="32">
        <v>26.6</v>
      </c>
      <c r="C52" s="32">
        <v>29.1</v>
      </c>
      <c r="D52" s="32">
        <v>27.7</v>
      </c>
      <c r="E52" s="32">
        <v>29.9</v>
      </c>
      <c r="S52">
        <v>88</v>
      </c>
      <c r="T52">
        <v>9</v>
      </c>
      <c r="U52">
        <v>14</v>
      </c>
      <c r="V52">
        <v>12</v>
      </c>
      <c r="W52">
        <v>11</v>
      </c>
      <c r="X52">
        <v>13</v>
      </c>
      <c r="Y52">
        <v>7</v>
      </c>
      <c r="AB52">
        <v>88</v>
      </c>
      <c r="AC52">
        <v>8</v>
      </c>
      <c r="AD52">
        <v>12</v>
      </c>
      <c r="AE52">
        <v>10</v>
      </c>
      <c r="AF52">
        <v>10</v>
      </c>
      <c r="AG52">
        <v>11</v>
      </c>
      <c r="AH52">
        <v>6</v>
      </c>
      <c r="AQ52">
        <v>88</v>
      </c>
      <c r="AR52">
        <v>16.600000000000001</v>
      </c>
      <c r="AS52">
        <v>14.7</v>
      </c>
      <c r="AT52">
        <v>15.3</v>
      </c>
      <c r="AU52">
        <v>15.8</v>
      </c>
      <c r="AV52" s="231">
        <v>11.8</v>
      </c>
      <c r="AW52">
        <v>17.899999999999999</v>
      </c>
      <c r="AX52">
        <v>18.399999999999999</v>
      </c>
      <c r="AY52">
        <v>18.8</v>
      </c>
      <c r="AZ52" s="231">
        <v>15.6</v>
      </c>
      <c r="BA52">
        <v>16.600000000000001</v>
      </c>
      <c r="BB52">
        <v>17.2</v>
      </c>
      <c r="BC52" s="231">
        <v>13.5</v>
      </c>
      <c r="BD52">
        <v>17.600000000000001</v>
      </c>
      <c r="BE52" s="231">
        <v>14.1</v>
      </c>
      <c r="BF52">
        <v>14.7</v>
      </c>
      <c r="BJ52">
        <v>87</v>
      </c>
      <c r="BK52">
        <v>1.2</v>
      </c>
      <c r="BL52">
        <v>1.2</v>
      </c>
      <c r="BM52">
        <v>2.0299999999999998</v>
      </c>
      <c r="BN52">
        <v>2.08</v>
      </c>
      <c r="BO52">
        <v>1.24</v>
      </c>
      <c r="BP52">
        <v>1.24</v>
      </c>
      <c r="BQ52">
        <v>1.59</v>
      </c>
      <c r="BR52">
        <v>2.0099999999999998</v>
      </c>
    </row>
    <row r="53" spans="1:70" x14ac:dyDescent="0.2">
      <c r="A53" s="36" t="s">
        <v>157</v>
      </c>
      <c r="B53">
        <f>'Extended Battery'!D59</f>
        <v>30</v>
      </c>
      <c r="C53">
        <f>'Extended Battery'!D61</f>
        <v>30</v>
      </c>
      <c r="D53" s="30">
        <f>'Extended Battery'!D62</f>
        <v>30</v>
      </c>
      <c r="E53" s="30">
        <f>'Extended Battery'!D60</f>
        <v>30</v>
      </c>
      <c r="S53">
        <v>89</v>
      </c>
      <c r="T53">
        <v>9</v>
      </c>
      <c r="U53">
        <v>14</v>
      </c>
      <c r="V53">
        <v>12</v>
      </c>
      <c r="W53">
        <v>11</v>
      </c>
      <c r="X53">
        <v>13</v>
      </c>
      <c r="Y53">
        <v>7</v>
      </c>
      <c r="AB53">
        <v>89</v>
      </c>
      <c r="AC53">
        <v>8</v>
      </c>
      <c r="AD53">
        <v>12</v>
      </c>
      <c r="AE53">
        <v>10</v>
      </c>
      <c r="AF53">
        <v>10</v>
      </c>
      <c r="AG53">
        <v>11</v>
      </c>
      <c r="AH53">
        <v>6</v>
      </c>
      <c r="AQ53">
        <v>89</v>
      </c>
      <c r="AR53">
        <v>16.600000000000001</v>
      </c>
      <c r="AS53">
        <v>14.7</v>
      </c>
      <c r="AT53">
        <v>15.3</v>
      </c>
      <c r="AU53">
        <v>15.8</v>
      </c>
      <c r="AV53" s="231">
        <v>11.8</v>
      </c>
      <c r="AW53">
        <v>17.899999999999999</v>
      </c>
      <c r="AX53">
        <v>18.399999999999999</v>
      </c>
      <c r="AY53">
        <v>18.8</v>
      </c>
      <c r="AZ53" s="231">
        <v>15.6</v>
      </c>
      <c r="BA53">
        <v>16.600000000000001</v>
      </c>
      <c r="BB53">
        <v>17.2</v>
      </c>
      <c r="BC53" s="231">
        <v>13.5</v>
      </c>
      <c r="BD53">
        <v>17.600000000000001</v>
      </c>
      <c r="BE53" s="231">
        <v>14.1</v>
      </c>
      <c r="BF53">
        <v>14.7</v>
      </c>
      <c r="BJ53">
        <v>88</v>
      </c>
      <c r="BK53">
        <v>1.2</v>
      </c>
      <c r="BL53">
        <v>1.2</v>
      </c>
      <c r="BM53">
        <v>2.0299999999999998</v>
      </c>
      <c r="BN53">
        <v>2.08</v>
      </c>
      <c r="BO53">
        <v>1.24</v>
      </c>
      <c r="BP53">
        <v>1.24</v>
      </c>
      <c r="BQ53">
        <v>1.59</v>
      </c>
      <c r="BR53">
        <v>2.0099999999999998</v>
      </c>
    </row>
    <row r="54" spans="1:70" x14ac:dyDescent="0.2">
      <c r="A54" s="30" t="s">
        <v>290</v>
      </c>
      <c r="B54" s="541">
        <v>21.3</v>
      </c>
      <c r="C54" s="597">
        <v>25.2</v>
      </c>
      <c r="D54" s="542">
        <v>24.2</v>
      </c>
      <c r="E54" s="542">
        <f>'Extended Battery'!D60</f>
        <v>30</v>
      </c>
      <c r="F54" t="s">
        <v>560</v>
      </c>
      <c r="BJ54">
        <v>89</v>
      </c>
      <c r="BK54">
        <v>1.2</v>
      </c>
      <c r="BL54">
        <v>1.2</v>
      </c>
      <c r="BM54">
        <v>2.0299999999999998</v>
      </c>
      <c r="BN54">
        <v>2.08</v>
      </c>
      <c r="BO54">
        <v>1.24</v>
      </c>
      <c r="BP54">
        <v>1.24</v>
      </c>
      <c r="BQ54">
        <v>1.59</v>
      </c>
      <c r="BR54">
        <v>2.0099999999999998</v>
      </c>
    </row>
    <row r="55" spans="1:70" x14ac:dyDescent="0.2">
      <c r="AQ55" s="5" t="s">
        <v>373</v>
      </c>
    </row>
    <row r="56" spans="1:70" ht="16" thickBot="1" x14ac:dyDescent="0.25"/>
    <row r="57" spans="1:70" x14ac:dyDescent="0.2">
      <c r="C57" s="596" t="s">
        <v>161</v>
      </c>
      <c r="I57" t="s">
        <v>162</v>
      </c>
      <c r="AQ57" s="214"/>
      <c r="AR57" s="215" t="s">
        <v>356</v>
      </c>
      <c r="AS57" s="215" t="s">
        <v>357</v>
      </c>
      <c r="AT57" s="215" t="s">
        <v>358</v>
      </c>
      <c r="AU57" s="215" t="s">
        <v>359</v>
      </c>
      <c r="AV57" s="483" t="s">
        <v>360</v>
      </c>
      <c r="AW57" s="215" t="s">
        <v>361</v>
      </c>
      <c r="AX57" s="215" t="s">
        <v>362</v>
      </c>
      <c r="AY57" s="215" t="s">
        <v>363</v>
      </c>
      <c r="AZ57" s="483" t="s">
        <v>364</v>
      </c>
      <c r="BA57" s="215" t="s">
        <v>365</v>
      </c>
      <c r="BB57" s="215" t="s">
        <v>366</v>
      </c>
      <c r="BC57" s="483" t="s">
        <v>367</v>
      </c>
      <c r="BD57" s="215" t="s">
        <v>368</v>
      </c>
      <c r="BE57" s="483" t="s">
        <v>369</v>
      </c>
      <c r="BF57" s="216" t="s">
        <v>370</v>
      </c>
    </row>
    <row r="58" spans="1:70" ht="16" thickBot="1" x14ac:dyDescent="0.25">
      <c r="A58" s="9" t="s">
        <v>122</v>
      </c>
      <c r="B58" s="10" t="s">
        <v>123</v>
      </c>
      <c r="C58" s="914" t="s">
        <v>155</v>
      </c>
      <c r="D58" s="915"/>
      <c r="E58" s="914" t="s">
        <v>153</v>
      </c>
      <c r="F58" s="915"/>
      <c r="G58" s="914" t="s">
        <v>154</v>
      </c>
      <c r="H58" s="915"/>
      <c r="I58" s="914" t="s">
        <v>163</v>
      </c>
      <c r="J58" s="915"/>
      <c r="K58" s="914" t="s">
        <v>164</v>
      </c>
      <c r="L58" s="915"/>
      <c r="AQ58" s="219" t="s">
        <v>372</v>
      </c>
      <c r="AR58" s="220">
        <v>37</v>
      </c>
      <c r="AS58" s="220">
        <v>33</v>
      </c>
      <c r="AT58" s="220">
        <v>32</v>
      </c>
      <c r="AU58" s="220">
        <v>27</v>
      </c>
      <c r="AV58" s="220">
        <v>21</v>
      </c>
      <c r="AW58" s="220">
        <v>37</v>
      </c>
      <c r="AX58" s="220">
        <v>35</v>
      </c>
      <c r="AY58" s="220">
        <v>35</v>
      </c>
      <c r="AZ58" s="220">
        <v>26</v>
      </c>
      <c r="BA58" s="220">
        <v>35</v>
      </c>
      <c r="BB58" s="220">
        <v>35</v>
      </c>
      <c r="BC58" s="220">
        <v>26</v>
      </c>
      <c r="BD58" s="220">
        <v>33</v>
      </c>
      <c r="BE58" s="220">
        <v>23</v>
      </c>
      <c r="BF58" s="221">
        <v>22</v>
      </c>
    </row>
    <row r="59" spans="1:70" x14ac:dyDescent="0.2">
      <c r="A59" s="8" t="s">
        <v>126</v>
      </c>
      <c r="B59" s="7">
        <v>30</v>
      </c>
      <c r="C59" s="11">
        <v>30</v>
      </c>
      <c r="D59" s="12">
        <f>C59/B59</f>
        <v>1</v>
      </c>
      <c r="E59" s="11">
        <v>21</v>
      </c>
      <c r="F59" s="12">
        <f>E59/B59</f>
        <v>0.7</v>
      </c>
      <c r="G59" s="11">
        <v>30</v>
      </c>
      <c r="H59" s="12">
        <f>G59/B59</f>
        <v>1</v>
      </c>
      <c r="I59" s="11">
        <f>J59*B59</f>
        <v>25.8</v>
      </c>
      <c r="J59" s="12">
        <v>0.86</v>
      </c>
      <c r="K59" s="11">
        <f>L59*B59</f>
        <v>26.1</v>
      </c>
      <c r="L59" s="12">
        <v>0.87</v>
      </c>
      <c r="AR59">
        <v>37</v>
      </c>
    </row>
    <row r="60" spans="1:70" x14ac:dyDescent="0.2">
      <c r="A60" s="8" t="s">
        <v>127</v>
      </c>
      <c r="B60" s="7">
        <v>30</v>
      </c>
      <c r="C60" s="11">
        <v>25</v>
      </c>
      <c r="D60" s="12">
        <f>C60/B60</f>
        <v>0.83333333333333337</v>
      </c>
      <c r="E60" s="11">
        <v>20</v>
      </c>
      <c r="F60" s="12">
        <f>E60/B60</f>
        <v>0.66666666666666663</v>
      </c>
      <c r="G60" s="11">
        <v>27</v>
      </c>
      <c r="H60" s="12">
        <f>G60/B60</f>
        <v>0.9</v>
      </c>
      <c r="I60" s="11">
        <f>J60*B60</f>
        <v>26.1</v>
      </c>
      <c r="J60" s="12">
        <v>0.87</v>
      </c>
      <c r="K60" s="11">
        <f t="shared" ref="K60:K63" si="3">L60*B60</f>
        <v>24.599999999999998</v>
      </c>
      <c r="L60" s="12">
        <v>0.82</v>
      </c>
      <c r="AR60">
        <v>33</v>
      </c>
    </row>
    <row r="61" spans="1:70" x14ac:dyDescent="0.2">
      <c r="A61" s="8" t="s">
        <v>128</v>
      </c>
      <c r="B61" s="7">
        <v>20</v>
      </c>
      <c r="C61" s="11">
        <v>17</v>
      </c>
      <c r="D61" s="12">
        <f>C61/B61</f>
        <v>0.85</v>
      </c>
      <c r="E61" s="11">
        <v>16</v>
      </c>
      <c r="F61" s="12">
        <f>E61/B61</f>
        <v>0.8</v>
      </c>
      <c r="G61" s="11">
        <v>6</v>
      </c>
      <c r="H61" s="12">
        <f>G61/B61</f>
        <v>0.3</v>
      </c>
      <c r="I61" s="11">
        <f t="shared" ref="I61:I63" si="4">J61*B61</f>
        <v>19</v>
      </c>
      <c r="J61" s="12">
        <v>0.95</v>
      </c>
      <c r="K61" s="11">
        <f t="shared" si="3"/>
        <v>17</v>
      </c>
      <c r="L61" s="12">
        <v>0.85</v>
      </c>
      <c r="AR61">
        <v>32</v>
      </c>
    </row>
    <row r="62" spans="1:70" x14ac:dyDescent="0.2">
      <c r="A62" s="8" t="s">
        <v>129</v>
      </c>
      <c r="B62" s="7">
        <v>10</v>
      </c>
      <c r="C62" s="11">
        <v>5</v>
      </c>
      <c r="D62" s="12">
        <f>C62/B62</f>
        <v>0.5</v>
      </c>
      <c r="E62" s="11">
        <v>3</v>
      </c>
      <c r="F62" s="12">
        <f>E62/B62</f>
        <v>0.3</v>
      </c>
      <c r="G62" s="11">
        <v>8</v>
      </c>
      <c r="H62" s="12">
        <f>G62/B62</f>
        <v>0.8</v>
      </c>
      <c r="I62" s="11">
        <f t="shared" si="4"/>
        <v>7</v>
      </c>
      <c r="J62" s="12">
        <v>0.7</v>
      </c>
      <c r="K62" s="11">
        <f t="shared" si="3"/>
        <v>7</v>
      </c>
      <c r="L62" s="12">
        <v>0.7</v>
      </c>
      <c r="AR62">
        <v>27</v>
      </c>
    </row>
    <row r="63" spans="1:70" x14ac:dyDescent="0.2">
      <c r="A63" s="8" t="s">
        <v>130</v>
      </c>
      <c r="B63" s="7">
        <v>10</v>
      </c>
      <c r="C63" s="11">
        <v>4</v>
      </c>
      <c r="D63" s="12">
        <f>C63/B63</f>
        <v>0.4</v>
      </c>
      <c r="E63" s="11">
        <v>10</v>
      </c>
      <c r="F63" s="12">
        <f>E63/B63</f>
        <v>1</v>
      </c>
      <c r="G63" s="11">
        <v>7.5</v>
      </c>
      <c r="H63" s="12">
        <f>G63/B63</f>
        <v>0.75</v>
      </c>
      <c r="I63" s="11">
        <f t="shared" si="4"/>
        <v>9.3999999999999986</v>
      </c>
      <c r="J63" s="12">
        <v>0.94</v>
      </c>
      <c r="K63" s="11">
        <f t="shared" si="3"/>
        <v>8.6</v>
      </c>
      <c r="L63" s="12">
        <v>0.86</v>
      </c>
      <c r="AR63">
        <v>21</v>
      </c>
    </row>
    <row r="64" spans="1:70" x14ac:dyDescent="0.2">
      <c r="AR64">
        <v>37</v>
      </c>
    </row>
    <row r="65" spans="1:44" x14ac:dyDescent="0.2">
      <c r="AR65">
        <v>35</v>
      </c>
    </row>
    <row r="66" spans="1:44" x14ac:dyDescent="0.2">
      <c r="AR66">
        <v>35</v>
      </c>
    </row>
    <row r="67" spans="1:44" x14ac:dyDescent="0.2">
      <c r="AR67">
        <v>26</v>
      </c>
    </row>
    <row r="68" spans="1:44" x14ac:dyDescent="0.2">
      <c r="AR68">
        <v>35</v>
      </c>
    </row>
    <row r="69" spans="1:44" x14ac:dyDescent="0.2">
      <c r="AR69">
        <v>35</v>
      </c>
    </row>
    <row r="70" spans="1:44" x14ac:dyDescent="0.2">
      <c r="A70" s="1" t="s">
        <v>186</v>
      </c>
      <c r="B70" s="1"/>
      <c r="C70" s="1"/>
      <c r="D70" s="1"/>
      <c r="E70" s="1"/>
      <c r="I70" s="1" t="s">
        <v>186</v>
      </c>
      <c r="J70" s="1"/>
      <c r="K70" s="1"/>
      <c r="L70" s="1"/>
      <c r="M70" s="1"/>
      <c r="Q70" t="s">
        <v>388</v>
      </c>
      <c r="AR70">
        <v>26</v>
      </c>
    </row>
    <row r="71" spans="1:44" x14ac:dyDescent="0.2">
      <c r="A71" s="1"/>
      <c r="B71" s="1"/>
      <c r="C71" s="1"/>
      <c r="D71" s="1"/>
      <c r="E71" s="1"/>
      <c r="I71" s="1"/>
      <c r="J71" s="1"/>
      <c r="K71" s="1"/>
      <c r="L71" s="1"/>
      <c r="M71" s="1"/>
      <c r="AR71">
        <v>33</v>
      </c>
    </row>
    <row r="72" spans="1:44" x14ac:dyDescent="0.2">
      <c r="A72" s="1" t="s">
        <v>15</v>
      </c>
      <c r="B72" s="1" t="s">
        <v>187</v>
      </c>
      <c r="C72" s="1" t="s">
        <v>188</v>
      </c>
      <c r="D72" s="1" t="s">
        <v>189</v>
      </c>
      <c r="E72" s="1"/>
      <c r="F72" s="228" t="s">
        <v>80</v>
      </c>
      <c r="I72" s="1" t="s">
        <v>15</v>
      </c>
      <c r="J72" s="1" t="s">
        <v>187</v>
      </c>
      <c r="K72" s="1" t="s">
        <v>188</v>
      </c>
      <c r="L72" s="1" t="s">
        <v>189</v>
      </c>
      <c r="M72" s="1"/>
      <c r="N72" s="228" t="s">
        <v>80</v>
      </c>
      <c r="Q72" s="257" t="s">
        <v>33</v>
      </c>
      <c r="R72">
        <f>'Standard Tests'!C30</f>
        <v>19</v>
      </c>
      <c r="AR72">
        <v>23</v>
      </c>
    </row>
    <row r="73" spans="1:44" x14ac:dyDescent="0.2">
      <c r="A73" s="49" t="str">
        <f>'Standard Tests'!C6</f>
        <v>11</v>
      </c>
      <c r="B73" s="49">
        <f>A73-6</f>
        <v>5</v>
      </c>
      <c r="C73" s="49">
        <f>A73-3</f>
        <v>8</v>
      </c>
      <c r="D73" s="49">
        <f>A73+3</f>
        <v>14</v>
      </c>
      <c r="E73" s="1">
        <v>6</v>
      </c>
      <c r="F73" s="229">
        <f>B73+1.5</f>
        <v>6.5</v>
      </c>
      <c r="I73" s="49" t="str">
        <f>A73</f>
        <v>11</v>
      </c>
      <c r="J73" s="49">
        <f>I73-6</f>
        <v>5</v>
      </c>
      <c r="K73" s="49">
        <f>I73-3</f>
        <v>8</v>
      </c>
      <c r="L73" s="49">
        <f>I73+3</f>
        <v>14</v>
      </c>
      <c r="M73" s="1">
        <v>6</v>
      </c>
      <c r="N73" s="229">
        <f>J73+1.5</f>
        <v>6.5</v>
      </c>
      <c r="Q73" s="257" t="s">
        <v>34</v>
      </c>
      <c r="R73">
        <f>'Standard Tests'!C31</f>
        <v>19</v>
      </c>
      <c r="AR73">
        <v>22</v>
      </c>
    </row>
    <row r="74" spans="1:44" x14ac:dyDescent="0.2">
      <c r="A74" s="49" t="str">
        <f>A73</f>
        <v>11</v>
      </c>
      <c r="B74" s="49">
        <f t="shared" ref="B74:B85" si="5">A74-6</f>
        <v>5</v>
      </c>
      <c r="C74" s="49">
        <f t="shared" ref="C74:C85" si="6">A74-3</f>
        <v>8</v>
      </c>
      <c r="D74" s="49">
        <f t="shared" ref="D74:D85" si="7">A74+3</f>
        <v>14</v>
      </c>
      <c r="E74" s="1">
        <v>6</v>
      </c>
      <c r="F74" s="229">
        <f t="shared" ref="F74:F85" si="8">B74+1.5</f>
        <v>6.5</v>
      </c>
      <c r="I74" s="49" t="str">
        <f>I73</f>
        <v>11</v>
      </c>
      <c r="J74" s="49">
        <f t="shared" ref="J74:J85" si="9">I74-6</f>
        <v>5</v>
      </c>
      <c r="K74" s="49">
        <f t="shared" ref="K74:K85" si="10">I74-3</f>
        <v>8</v>
      </c>
      <c r="L74" s="49">
        <f t="shared" ref="L74:L85" si="11">I74+3</f>
        <v>14</v>
      </c>
      <c r="M74" s="1">
        <v>6</v>
      </c>
      <c r="N74" s="229">
        <f t="shared" ref="N74:N85" si="12">J74+1.5</f>
        <v>6.5</v>
      </c>
      <c r="Q74" s="257" t="s">
        <v>35</v>
      </c>
      <c r="R74">
        <f>'Standard Tests'!C32</f>
        <v>18</v>
      </c>
    </row>
    <row r="75" spans="1:44" x14ac:dyDescent="0.2">
      <c r="A75" s="49" t="str">
        <f t="shared" ref="A75:A85" si="13">A74</f>
        <v>11</v>
      </c>
      <c r="B75" s="49">
        <f t="shared" si="5"/>
        <v>5</v>
      </c>
      <c r="C75" s="49">
        <f t="shared" si="6"/>
        <v>8</v>
      </c>
      <c r="D75" s="49">
        <f t="shared" si="7"/>
        <v>14</v>
      </c>
      <c r="E75" s="1">
        <v>6</v>
      </c>
      <c r="F75" s="229">
        <f t="shared" si="8"/>
        <v>6.5</v>
      </c>
      <c r="I75" s="49" t="str">
        <f t="shared" ref="I75:I92" si="14">I74</f>
        <v>11</v>
      </c>
      <c r="J75" s="49">
        <f t="shared" si="9"/>
        <v>5</v>
      </c>
      <c r="K75" s="49">
        <f t="shared" si="10"/>
        <v>8</v>
      </c>
      <c r="L75" s="49">
        <f t="shared" si="11"/>
        <v>14</v>
      </c>
      <c r="M75" s="1">
        <v>6</v>
      </c>
      <c r="N75" s="229">
        <f t="shared" si="12"/>
        <v>6.5</v>
      </c>
      <c r="Q75" s="257" t="s">
        <v>36</v>
      </c>
      <c r="R75">
        <f>'Standard Tests'!C33</f>
        <v>18</v>
      </c>
    </row>
    <row r="76" spans="1:44" x14ac:dyDescent="0.2">
      <c r="A76" s="49" t="str">
        <f t="shared" si="13"/>
        <v>11</v>
      </c>
      <c r="B76" s="49">
        <f t="shared" si="5"/>
        <v>5</v>
      </c>
      <c r="C76" s="49">
        <f t="shared" si="6"/>
        <v>8</v>
      </c>
      <c r="D76" s="49">
        <f t="shared" si="7"/>
        <v>14</v>
      </c>
      <c r="E76" s="1">
        <v>6</v>
      </c>
      <c r="F76" s="229">
        <f t="shared" si="8"/>
        <v>6.5</v>
      </c>
      <c r="I76" s="49" t="str">
        <f t="shared" si="14"/>
        <v>11</v>
      </c>
      <c r="J76" s="49">
        <f t="shared" si="9"/>
        <v>5</v>
      </c>
      <c r="K76" s="49">
        <f t="shared" si="10"/>
        <v>8</v>
      </c>
      <c r="L76" s="49">
        <f t="shared" si="11"/>
        <v>14</v>
      </c>
      <c r="M76" s="1">
        <v>6</v>
      </c>
      <c r="N76" s="229">
        <f t="shared" si="12"/>
        <v>6.5</v>
      </c>
      <c r="Q76" s="257" t="s">
        <v>37</v>
      </c>
      <c r="R76">
        <f>'Standard Tests'!C34</f>
        <v>16</v>
      </c>
    </row>
    <row r="77" spans="1:44" x14ac:dyDescent="0.2">
      <c r="A77" s="49" t="str">
        <f t="shared" si="13"/>
        <v>11</v>
      </c>
      <c r="B77" s="49">
        <f t="shared" si="5"/>
        <v>5</v>
      </c>
      <c r="C77" s="49">
        <f t="shared" si="6"/>
        <v>8</v>
      </c>
      <c r="D77" s="49">
        <f t="shared" si="7"/>
        <v>14</v>
      </c>
      <c r="E77" s="1">
        <v>6</v>
      </c>
      <c r="F77" s="229">
        <f t="shared" si="8"/>
        <v>6.5</v>
      </c>
      <c r="I77" s="49" t="str">
        <f t="shared" si="14"/>
        <v>11</v>
      </c>
      <c r="J77" s="49">
        <f t="shared" si="9"/>
        <v>5</v>
      </c>
      <c r="K77" s="49">
        <f t="shared" si="10"/>
        <v>8</v>
      </c>
      <c r="L77" s="49">
        <f t="shared" si="11"/>
        <v>14</v>
      </c>
      <c r="M77" s="1">
        <v>6</v>
      </c>
      <c r="N77" s="229">
        <f t="shared" si="12"/>
        <v>6.5</v>
      </c>
      <c r="Q77" s="257" t="s">
        <v>190</v>
      </c>
      <c r="R77">
        <f>'Standard Tests'!C36</f>
        <v>1</v>
      </c>
    </row>
    <row r="78" spans="1:44" x14ac:dyDescent="0.2">
      <c r="A78" s="49" t="str">
        <f t="shared" si="13"/>
        <v>11</v>
      </c>
      <c r="B78" s="49">
        <f t="shared" si="5"/>
        <v>5</v>
      </c>
      <c r="C78" s="49">
        <f t="shared" si="6"/>
        <v>8</v>
      </c>
      <c r="D78" s="49">
        <f t="shared" si="7"/>
        <v>14</v>
      </c>
      <c r="E78" s="1">
        <v>6</v>
      </c>
      <c r="F78" s="229">
        <f t="shared" si="8"/>
        <v>6.5</v>
      </c>
      <c r="I78" s="49" t="str">
        <f t="shared" si="14"/>
        <v>11</v>
      </c>
      <c r="J78" s="49">
        <f t="shared" si="9"/>
        <v>5</v>
      </c>
      <c r="K78" s="49">
        <f t="shared" si="10"/>
        <v>8</v>
      </c>
      <c r="L78" s="49">
        <f t="shared" si="11"/>
        <v>14</v>
      </c>
      <c r="M78" s="1">
        <v>6</v>
      </c>
      <c r="N78" s="229">
        <f t="shared" si="12"/>
        <v>6.5</v>
      </c>
      <c r="Q78" s="257" t="s">
        <v>191</v>
      </c>
      <c r="R78">
        <f>'Standard Tests'!C37</f>
        <v>1</v>
      </c>
    </row>
    <row r="79" spans="1:44" x14ac:dyDescent="0.2">
      <c r="A79" s="49" t="str">
        <f t="shared" si="13"/>
        <v>11</v>
      </c>
      <c r="B79" s="49">
        <f t="shared" si="5"/>
        <v>5</v>
      </c>
      <c r="C79" s="49">
        <f t="shared" si="6"/>
        <v>8</v>
      </c>
      <c r="D79" s="49">
        <f t="shared" si="7"/>
        <v>14</v>
      </c>
      <c r="E79" s="1">
        <v>6</v>
      </c>
      <c r="F79" s="229">
        <f t="shared" si="8"/>
        <v>6.5</v>
      </c>
      <c r="I79" s="49" t="str">
        <f t="shared" si="14"/>
        <v>11</v>
      </c>
      <c r="J79" s="49">
        <f t="shared" si="9"/>
        <v>5</v>
      </c>
      <c r="K79" s="49">
        <f t="shared" si="10"/>
        <v>8</v>
      </c>
      <c r="L79" s="49">
        <f t="shared" si="11"/>
        <v>14</v>
      </c>
      <c r="M79" s="1">
        <v>6</v>
      </c>
      <c r="N79" s="229">
        <f t="shared" si="12"/>
        <v>6.5</v>
      </c>
      <c r="Q79" s="257" t="s">
        <v>192</v>
      </c>
      <c r="R79">
        <f>'Standard Tests'!C38</f>
        <v>1</v>
      </c>
    </row>
    <row r="80" spans="1:44" x14ac:dyDescent="0.2">
      <c r="A80" s="49" t="str">
        <f t="shared" si="13"/>
        <v>11</v>
      </c>
      <c r="B80" s="49">
        <f t="shared" si="5"/>
        <v>5</v>
      </c>
      <c r="C80" s="49">
        <f t="shared" si="6"/>
        <v>8</v>
      </c>
      <c r="D80" s="49">
        <f t="shared" si="7"/>
        <v>14</v>
      </c>
      <c r="E80" s="1">
        <v>6</v>
      </c>
      <c r="F80" s="229">
        <f t="shared" si="8"/>
        <v>6.5</v>
      </c>
      <c r="I80" s="49" t="str">
        <f t="shared" si="14"/>
        <v>11</v>
      </c>
      <c r="J80" s="49">
        <f t="shared" si="9"/>
        <v>5</v>
      </c>
      <c r="K80" s="49">
        <f t="shared" si="10"/>
        <v>8</v>
      </c>
      <c r="L80" s="49">
        <f t="shared" si="11"/>
        <v>14</v>
      </c>
      <c r="M80" s="1">
        <v>6</v>
      </c>
      <c r="N80" s="229">
        <f t="shared" si="12"/>
        <v>6.5</v>
      </c>
      <c r="Q80" s="257" t="s">
        <v>173</v>
      </c>
      <c r="R80">
        <f>'Standard Tests'!C39</f>
        <v>1</v>
      </c>
    </row>
    <row r="81" spans="1:18" x14ac:dyDescent="0.2">
      <c r="A81" s="49" t="str">
        <f t="shared" si="13"/>
        <v>11</v>
      </c>
      <c r="B81" s="49">
        <f t="shared" si="5"/>
        <v>5</v>
      </c>
      <c r="C81" s="49">
        <f t="shared" si="6"/>
        <v>8</v>
      </c>
      <c r="D81" s="49">
        <f t="shared" si="7"/>
        <v>14</v>
      </c>
      <c r="E81" s="1">
        <v>6</v>
      </c>
      <c r="F81" s="229">
        <f t="shared" si="8"/>
        <v>6.5</v>
      </c>
      <c r="I81" s="49" t="str">
        <f t="shared" si="14"/>
        <v>11</v>
      </c>
      <c r="J81" s="49">
        <f t="shared" si="9"/>
        <v>5</v>
      </c>
      <c r="K81" s="49">
        <f t="shared" si="10"/>
        <v>8</v>
      </c>
      <c r="L81" s="49">
        <f t="shared" si="11"/>
        <v>14</v>
      </c>
      <c r="M81" s="1">
        <v>6</v>
      </c>
      <c r="N81" s="229">
        <f t="shared" si="12"/>
        <v>6.5</v>
      </c>
      <c r="Q81" s="257" t="s">
        <v>87</v>
      </c>
      <c r="R81">
        <f>'Extended Battery'!C14</f>
        <v>0</v>
      </c>
    </row>
    <row r="82" spans="1:18" x14ac:dyDescent="0.2">
      <c r="A82" s="49" t="str">
        <f t="shared" si="13"/>
        <v>11</v>
      </c>
      <c r="B82" s="49">
        <f t="shared" si="5"/>
        <v>5</v>
      </c>
      <c r="C82" s="49">
        <f t="shared" si="6"/>
        <v>8</v>
      </c>
      <c r="D82" s="49">
        <f t="shared" si="7"/>
        <v>14</v>
      </c>
      <c r="E82" s="1">
        <v>6</v>
      </c>
      <c r="F82" s="229">
        <f t="shared" si="8"/>
        <v>6.5</v>
      </c>
      <c r="I82" s="49" t="str">
        <f t="shared" si="14"/>
        <v>11</v>
      </c>
      <c r="J82" s="49">
        <f t="shared" si="9"/>
        <v>5</v>
      </c>
      <c r="K82" s="49">
        <f t="shared" si="10"/>
        <v>8</v>
      </c>
      <c r="L82" s="49">
        <f t="shared" si="11"/>
        <v>14</v>
      </c>
      <c r="M82" s="1">
        <v>6</v>
      </c>
      <c r="N82" s="229">
        <f t="shared" si="12"/>
        <v>6.5</v>
      </c>
      <c r="Q82" s="257" t="s">
        <v>88</v>
      </c>
      <c r="R82">
        <f>'Extended Battery'!C15</f>
        <v>0</v>
      </c>
    </row>
    <row r="83" spans="1:18" x14ac:dyDescent="0.2">
      <c r="A83" s="49" t="str">
        <f t="shared" si="13"/>
        <v>11</v>
      </c>
      <c r="B83" s="49">
        <f t="shared" si="5"/>
        <v>5</v>
      </c>
      <c r="C83" s="49">
        <f t="shared" si="6"/>
        <v>8</v>
      </c>
      <c r="D83" s="49">
        <f t="shared" si="7"/>
        <v>14</v>
      </c>
      <c r="E83" s="1">
        <v>6</v>
      </c>
      <c r="F83" s="229">
        <f t="shared" si="8"/>
        <v>6.5</v>
      </c>
      <c r="I83" s="49" t="str">
        <f t="shared" si="14"/>
        <v>11</v>
      </c>
      <c r="J83" s="49">
        <f t="shared" si="9"/>
        <v>5</v>
      </c>
      <c r="K83" s="49">
        <f t="shared" si="10"/>
        <v>8</v>
      </c>
      <c r="L83" s="49">
        <f t="shared" si="11"/>
        <v>14</v>
      </c>
      <c r="M83" s="1">
        <v>6</v>
      </c>
      <c r="N83" s="229">
        <f t="shared" si="12"/>
        <v>6.5</v>
      </c>
      <c r="Q83" s="257" t="s">
        <v>89</v>
      </c>
      <c r="R83">
        <f>'Extended Battery'!C16</f>
        <v>0</v>
      </c>
    </row>
    <row r="84" spans="1:18" x14ac:dyDescent="0.2">
      <c r="A84" s="49" t="str">
        <f t="shared" si="13"/>
        <v>11</v>
      </c>
      <c r="B84" s="49">
        <f t="shared" si="5"/>
        <v>5</v>
      </c>
      <c r="C84" s="49">
        <f t="shared" si="6"/>
        <v>8</v>
      </c>
      <c r="D84" s="49">
        <f t="shared" si="7"/>
        <v>14</v>
      </c>
      <c r="E84" s="1">
        <v>6</v>
      </c>
      <c r="F84" s="229">
        <f t="shared" si="8"/>
        <v>6.5</v>
      </c>
      <c r="I84" s="49" t="str">
        <f t="shared" si="14"/>
        <v>11</v>
      </c>
      <c r="J84" s="49">
        <f t="shared" si="9"/>
        <v>5</v>
      </c>
      <c r="K84" s="49">
        <f t="shared" si="10"/>
        <v>8</v>
      </c>
      <c r="L84" s="49">
        <f t="shared" si="11"/>
        <v>14</v>
      </c>
      <c r="M84" s="1">
        <v>6</v>
      </c>
      <c r="N84" s="229">
        <f t="shared" si="12"/>
        <v>6.5</v>
      </c>
      <c r="Q84" s="257" t="s">
        <v>90</v>
      </c>
      <c r="R84">
        <f>'Extended Battery'!C17</f>
        <v>0</v>
      </c>
    </row>
    <row r="85" spans="1:18" x14ac:dyDescent="0.2">
      <c r="A85" s="49" t="str">
        <f t="shared" si="13"/>
        <v>11</v>
      </c>
      <c r="B85" s="49">
        <f t="shared" si="5"/>
        <v>5</v>
      </c>
      <c r="C85" s="49">
        <f t="shared" si="6"/>
        <v>8</v>
      </c>
      <c r="D85" s="49">
        <f t="shared" si="7"/>
        <v>14</v>
      </c>
      <c r="E85" s="1">
        <v>6</v>
      </c>
      <c r="F85" s="229">
        <f t="shared" si="8"/>
        <v>6.5</v>
      </c>
      <c r="I85" s="49" t="str">
        <f t="shared" si="14"/>
        <v>11</v>
      </c>
      <c r="J85" s="49">
        <f t="shared" si="9"/>
        <v>5</v>
      </c>
      <c r="K85" s="49">
        <f t="shared" si="10"/>
        <v>8</v>
      </c>
      <c r="L85" s="49">
        <f t="shared" si="11"/>
        <v>14</v>
      </c>
      <c r="M85" s="1">
        <v>6</v>
      </c>
      <c r="N85" s="229">
        <f t="shared" si="12"/>
        <v>6.5</v>
      </c>
      <c r="Q85" s="257" t="s">
        <v>92</v>
      </c>
      <c r="R85">
        <f>'Extended Battery'!C19</f>
        <v>0</v>
      </c>
    </row>
    <row r="86" spans="1:18" x14ac:dyDescent="0.2">
      <c r="I86" s="49" t="str">
        <f t="shared" si="14"/>
        <v>11</v>
      </c>
      <c r="J86" s="49">
        <f t="shared" ref="J86:J89" si="15">I86-6</f>
        <v>5</v>
      </c>
      <c r="K86" s="49">
        <f t="shared" ref="K86:K89" si="16">I86-3</f>
        <v>8</v>
      </c>
      <c r="L86" s="49">
        <f t="shared" ref="L86:L89" si="17">I86+3</f>
        <v>14</v>
      </c>
      <c r="M86" s="1">
        <v>6</v>
      </c>
      <c r="N86" s="229">
        <f t="shared" ref="N86:N89" si="18">J86+1.5</f>
        <v>6.5</v>
      </c>
      <c r="Q86" s="257" t="s">
        <v>93</v>
      </c>
      <c r="R86">
        <f>'Extended Battery'!C20</f>
        <v>0</v>
      </c>
    </row>
    <row r="87" spans="1:18" x14ac:dyDescent="0.2">
      <c r="I87" s="49" t="str">
        <f t="shared" si="14"/>
        <v>11</v>
      </c>
      <c r="J87" s="49">
        <f t="shared" si="15"/>
        <v>5</v>
      </c>
      <c r="K87" s="49">
        <f t="shared" si="16"/>
        <v>8</v>
      </c>
      <c r="L87" s="49">
        <f t="shared" si="17"/>
        <v>14</v>
      </c>
      <c r="M87" s="1">
        <v>6</v>
      </c>
      <c r="N87" s="229">
        <f t="shared" si="18"/>
        <v>6.5</v>
      </c>
      <c r="Q87" s="257" t="s">
        <v>94</v>
      </c>
      <c r="R87">
        <f>'Extended Battery'!C21</f>
        <v>0</v>
      </c>
    </row>
    <row r="88" spans="1:18" x14ac:dyDescent="0.2">
      <c r="I88" s="49" t="str">
        <f t="shared" si="14"/>
        <v>11</v>
      </c>
      <c r="J88" s="49">
        <f t="shared" si="15"/>
        <v>5</v>
      </c>
      <c r="K88" s="49">
        <f t="shared" si="16"/>
        <v>8</v>
      </c>
      <c r="L88" s="49">
        <f t="shared" si="17"/>
        <v>14</v>
      </c>
      <c r="M88" s="1">
        <v>6</v>
      </c>
      <c r="N88" s="229">
        <f t="shared" si="18"/>
        <v>6.5</v>
      </c>
      <c r="Q88" s="257" t="s">
        <v>174</v>
      </c>
      <c r="R88" s="345">
        <f>'Standard Tests'!E41</f>
        <v>12</v>
      </c>
    </row>
    <row r="89" spans="1:18" x14ac:dyDescent="0.2">
      <c r="I89" s="49" t="str">
        <f t="shared" si="14"/>
        <v>11</v>
      </c>
      <c r="J89" s="49">
        <f t="shared" si="15"/>
        <v>5</v>
      </c>
      <c r="K89" s="49">
        <f t="shared" si="16"/>
        <v>8</v>
      </c>
      <c r="L89" s="49">
        <f t="shared" si="17"/>
        <v>14</v>
      </c>
      <c r="M89" s="1">
        <v>6</v>
      </c>
      <c r="N89" s="229">
        <f t="shared" si="18"/>
        <v>6.5</v>
      </c>
      <c r="Q89" s="257" t="s">
        <v>175</v>
      </c>
      <c r="R89" s="345">
        <f>'Standard Tests'!E42</f>
        <v>13</v>
      </c>
    </row>
    <row r="90" spans="1:18" x14ac:dyDescent="0.2">
      <c r="I90" s="49" t="str">
        <f t="shared" si="14"/>
        <v>11</v>
      </c>
      <c r="J90" s="49">
        <f t="shared" ref="J90:J92" si="19">I90-6</f>
        <v>5</v>
      </c>
      <c r="K90" s="49">
        <f t="shared" ref="K90:K92" si="20">I90-3</f>
        <v>8</v>
      </c>
      <c r="L90" s="49">
        <f t="shared" ref="L90:L92" si="21">I90+3</f>
        <v>14</v>
      </c>
      <c r="M90" s="1">
        <v>6</v>
      </c>
      <c r="N90" s="229">
        <f t="shared" ref="N90:N92" si="22">J90+1.5</f>
        <v>6.5</v>
      </c>
      <c r="Q90" s="257" t="s">
        <v>185</v>
      </c>
      <c r="R90" s="345">
        <f>'Standard Tests'!E43</f>
        <v>13</v>
      </c>
    </row>
    <row r="91" spans="1:18" x14ac:dyDescent="0.2">
      <c r="I91" s="49" t="str">
        <f t="shared" si="14"/>
        <v>11</v>
      </c>
      <c r="J91" s="49">
        <f t="shared" si="19"/>
        <v>5</v>
      </c>
      <c r="K91" s="49">
        <f t="shared" si="20"/>
        <v>8</v>
      </c>
      <c r="L91" s="49">
        <f t="shared" si="21"/>
        <v>14</v>
      </c>
      <c r="M91" s="1">
        <v>6</v>
      </c>
      <c r="N91" s="229">
        <f t="shared" si="22"/>
        <v>6.5</v>
      </c>
      <c r="Q91" s="257" t="s">
        <v>389</v>
      </c>
      <c r="R91" s="345">
        <f>'Standard Tests'!E51</f>
        <v>16</v>
      </c>
    </row>
    <row r="92" spans="1:18" x14ac:dyDescent="0.2">
      <c r="I92" s="49" t="str">
        <f t="shared" si="14"/>
        <v>11</v>
      </c>
      <c r="J92" s="49">
        <f t="shared" si="19"/>
        <v>5</v>
      </c>
      <c r="K92" s="49">
        <f t="shared" si="20"/>
        <v>8</v>
      </c>
      <c r="L92" s="49">
        <f t="shared" si="21"/>
        <v>14</v>
      </c>
      <c r="M92" s="1">
        <v>6</v>
      </c>
      <c r="N92" s="229">
        <f t="shared" si="22"/>
        <v>6.5</v>
      </c>
    </row>
    <row r="97" spans="1:17" x14ac:dyDescent="0.2">
      <c r="I97" s="1" t="s">
        <v>849</v>
      </c>
      <c r="J97" s="1"/>
      <c r="K97" s="1"/>
      <c r="L97" s="1"/>
      <c r="M97" s="1"/>
    </row>
    <row r="98" spans="1:17" x14ac:dyDescent="0.2">
      <c r="I98" s="1"/>
      <c r="J98" s="1"/>
      <c r="K98" s="1"/>
      <c r="L98" s="1"/>
      <c r="M98" s="1"/>
    </row>
    <row r="99" spans="1:17" ht="16" thickBot="1" x14ac:dyDescent="0.25">
      <c r="I99" s="1" t="s">
        <v>15</v>
      </c>
      <c r="J99" s="1" t="s">
        <v>187</v>
      </c>
      <c r="K99" s="1" t="s">
        <v>188</v>
      </c>
      <c r="L99" s="1" t="s">
        <v>189</v>
      </c>
      <c r="M99" s="1"/>
      <c r="N99" s="228" t="s">
        <v>80</v>
      </c>
    </row>
    <row r="100" spans="1:17" x14ac:dyDescent="0.2">
      <c r="A100" s="214" t="s">
        <v>262</v>
      </c>
      <c r="B100" s="215"/>
      <c r="C100" s="215"/>
      <c r="D100" s="215"/>
      <c r="E100" s="215"/>
      <c r="F100" s="215"/>
      <c r="G100" s="216"/>
      <c r="I100" s="49" t="str">
        <f>'Standard Tests'!C7</f>
        <v>11</v>
      </c>
      <c r="J100" s="49">
        <f>I100-6</f>
        <v>5</v>
      </c>
      <c r="K100" s="49">
        <f>I100-3</f>
        <v>8</v>
      </c>
      <c r="L100" s="49">
        <f>I100+3</f>
        <v>14</v>
      </c>
      <c r="M100" s="1">
        <v>6</v>
      </c>
      <c r="N100" s="229">
        <f>J100+1.5</f>
        <v>6.5</v>
      </c>
      <c r="O100" s="827" t="s">
        <v>11</v>
      </c>
    </row>
    <row r="101" spans="1:17" ht="24" x14ac:dyDescent="0.2">
      <c r="A101" s="217" t="s">
        <v>79</v>
      </c>
      <c r="B101" t="s">
        <v>160</v>
      </c>
      <c r="G101" s="218"/>
      <c r="I101" s="49" t="str">
        <f>I100</f>
        <v>11</v>
      </c>
      <c r="J101" s="49">
        <f t="shared" ref="J101:J107" si="23">I101-6</f>
        <v>5</v>
      </c>
      <c r="K101" s="49">
        <f t="shared" ref="K101:K107" si="24">I101-3</f>
        <v>8</v>
      </c>
      <c r="L101" s="49">
        <f t="shared" ref="L101:L107" si="25">I101+3</f>
        <v>14</v>
      </c>
      <c r="M101" s="1">
        <v>6</v>
      </c>
      <c r="N101" s="229">
        <f t="shared" ref="N101:N107" si="26">J101+1.5</f>
        <v>6.5</v>
      </c>
      <c r="O101" s="827" t="s">
        <v>12</v>
      </c>
    </row>
    <row r="102" spans="1:17" x14ac:dyDescent="0.2">
      <c r="A102" s="217"/>
      <c r="B102" t="s">
        <v>67</v>
      </c>
      <c r="C102" t="s">
        <v>68</v>
      </c>
      <c r="D102" t="s">
        <v>69</v>
      </c>
      <c r="E102" t="s">
        <v>70</v>
      </c>
      <c r="F102" t="s">
        <v>71</v>
      </c>
      <c r="G102" s="218" t="s">
        <v>72</v>
      </c>
      <c r="I102" s="49" t="str">
        <f>'Standard Tests'!C6</f>
        <v>11</v>
      </c>
      <c r="J102" s="49">
        <f t="shared" si="23"/>
        <v>5</v>
      </c>
      <c r="K102" s="49">
        <f t="shared" si="24"/>
        <v>8</v>
      </c>
      <c r="L102" s="49">
        <f t="shared" si="25"/>
        <v>14</v>
      </c>
      <c r="M102" s="1">
        <v>6</v>
      </c>
      <c r="N102" s="229">
        <f t="shared" si="26"/>
        <v>6.5</v>
      </c>
      <c r="O102" s="827" t="s">
        <v>13</v>
      </c>
    </row>
    <row r="103" spans="1:17" ht="24" x14ac:dyDescent="0.2">
      <c r="A103" s="217" t="s">
        <v>82</v>
      </c>
      <c r="B103">
        <f>'Standard Tests'!B7</f>
        <v>105.4067</v>
      </c>
      <c r="C103">
        <f>'Standard Tests'!B6</f>
        <v>103.13976599999997</v>
      </c>
      <c r="D103">
        <f>'Standard Tests'!$B$6</f>
        <v>103.13976599999997</v>
      </c>
      <c r="E103">
        <f>'Standard Tests'!$B$6</f>
        <v>103.13976599999997</v>
      </c>
      <c r="F103">
        <f>'Standard Tests'!B8</f>
        <v>105.26920000000001</v>
      </c>
      <c r="G103" s="218">
        <f>'Standard Tests'!$B$6</f>
        <v>103.13976599999997</v>
      </c>
      <c r="I103" s="49" t="str">
        <f t="shared" ref="I103:I107" si="27">I102</f>
        <v>11</v>
      </c>
      <c r="J103" s="49">
        <f t="shared" si="23"/>
        <v>5</v>
      </c>
      <c r="K103" s="49">
        <f t="shared" si="24"/>
        <v>8</v>
      </c>
      <c r="L103" s="49">
        <f t="shared" si="25"/>
        <v>14</v>
      </c>
      <c r="M103" s="1">
        <v>6</v>
      </c>
      <c r="N103" s="229">
        <f t="shared" si="26"/>
        <v>6.5</v>
      </c>
      <c r="O103" s="827" t="s">
        <v>17</v>
      </c>
    </row>
    <row r="104" spans="1:17" x14ac:dyDescent="0.2">
      <c r="A104" s="217" t="s">
        <v>74</v>
      </c>
      <c r="B104">
        <f>B103+'Do Not Edit'!X126</f>
        <v>128.98942</v>
      </c>
      <c r="C104">
        <f>C103+'Do Not Edit'!X119</f>
        <v>119.68412599999996</v>
      </c>
      <c r="D104">
        <f>D103+'Do Not Edit'!X119</f>
        <v>119.68412599999996</v>
      </c>
      <c r="E104">
        <f>E103+'Do Not Edit'!X119</f>
        <v>119.68412599999996</v>
      </c>
      <c r="F104">
        <f>F103+'Do Not Edit'!X127</f>
        <v>129.61240000000001</v>
      </c>
      <c r="G104" s="218">
        <f>G103+'Do Not Edit'!X119</f>
        <v>119.68412599999996</v>
      </c>
      <c r="I104" s="49" t="str">
        <f t="shared" si="27"/>
        <v>11</v>
      </c>
      <c r="J104" s="49">
        <f t="shared" si="23"/>
        <v>5</v>
      </c>
      <c r="K104" s="49">
        <f t="shared" si="24"/>
        <v>8</v>
      </c>
      <c r="L104" s="49">
        <f t="shared" si="25"/>
        <v>14</v>
      </c>
      <c r="M104" s="1">
        <v>6</v>
      </c>
      <c r="N104" s="229">
        <f t="shared" si="26"/>
        <v>6.5</v>
      </c>
      <c r="O104" s="827" t="s">
        <v>18</v>
      </c>
    </row>
    <row r="105" spans="1:17" x14ac:dyDescent="0.2">
      <c r="A105" s="217" t="s">
        <v>75</v>
      </c>
      <c r="B105">
        <f>B103-'Do Not Edit'!X126</f>
        <v>81.823980000000006</v>
      </c>
      <c r="C105">
        <f>C103-'Do Not Edit'!$X$119</f>
        <v>86.595405999999969</v>
      </c>
      <c r="D105">
        <f>D103-'Do Not Edit'!$X$119</f>
        <v>86.595405999999969</v>
      </c>
      <c r="E105">
        <f>E103-'Do Not Edit'!$X$119</f>
        <v>86.595405999999969</v>
      </c>
      <c r="F105">
        <f>F103-'Do Not Edit'!$X$127</f>
        <v>80.926000000000016</v>
      </c>
      <c r="G105" s="218">
        <f>G103-'Do Not Edit'!$X$119</f>
        <v>86.595405999999969</v>
      </c>
      <c r="I105" s="49" t="str">
        <f t="shared" si="27"/>
        <v>11</v>
      </c>
      <c r="J105" s="49">
        <f t="shared" si="23"/>
        <v>5</v>
      </c>
      <c r="K105" s="49">
        <f t="shared" si="24"/>
        <v>8</v>
      </c>
      <c r="L105" s="49">
        <f t="shared" si="25"/>
        <v>14</v>
      </c>
      <c r="M105" s="1">
        <v>6</v>
      </c>
      <c r="N105" s="229">
        <f t="shared" si="26"/>
        <v>6.5</v>
      </c>
      <c r="O105" s="827" t="s">
        <v>19</v>
      </c>
    </row>
    <row r="106" spans="1:17" x14ac:dyDescent="0.2">
      <c r="A106" s="217" t="s">
        <v>80</v>
      </c>
      <c r="B106">
        <f>B103-22.5</f>
        <v>82.906700000000001</v>
      </c>
      <c r="C106">
        <f>C103-22.5</f>
        <v>80.639765999999966</v>
      </c>
      <c r="D106">
        <f t="shared" ref="D106:G106" si="28">D103-22.5</f>
        <v>80.639765999999966</v>
      </c>
      <c r="E106">
        <f t="shared" si="28"/>
        <v>80.639765999999966</v>
      </c>
      <c r="F106">
        <f t="shared" si="28"/>
        <v>82.769200000000012</v>
      </c>
      <c r="G106" s="218">
        <f t="shared" si="28"/>
        <v>80.639765999999966</v>
      </c>
      <c r="I106" s="49" t="str">
        <f>'Standard Tests'!C8</f>
        <v>11</v>
      </c>
      <c r="J106" s="49">
        <f t="shared" si="23"/>
        <v>5</v>
      </c>
      <c r="K106" s="49">
        <f t="shared" si="24"/>
        <v>8</v>
      </c>
      <c r="L106" s="49">
        <f t="shared" si="25"/>
        <v>14</v>
      </c>
      <c r="M106" s="1">
        <v>6</v>
      </c>
      <c r="N106" s="229">
        <f t="shared" si="26"/>
        <v>6.5</v>
      </c>
      <c r="O106" s="827" t="s">
        <v>22</v>
      </c>
    </row>
    <row r="107" spans="1:17" x14ac:dyDescent="0.2">
      <c r="A107" s="217" t="s">
        <v>81</v>
      </c>
      <c r="B107">
        <f>B103-30</f>
        <v>75.406700000000001</v>
      </c>
      <c r="C107">
        <f>C103-30</f>
        <v>73.139765999999966</v>
      </c>
      <c r="D107">
        <f t="shared" ref="D107:G107" si="29">D103-30</f>
        <v>73.139765999999966</v>
      </c>
      <c r="E107">
        <f t="shared" si="29"/>
        <v>73.139765999999966</v>
      </c>
      <c r="F107">
        <f t="shared" si="29"/>
        <v>75.269200000000012</v>
      </c>
      <c r="G107" s="218">
        <f t="shared" si="29"/>
        <v>73.139765999999966</v>
      </c>
      <c r="I107" s="49" t="str">
        <f t="shared" si="27"/>
        <v>11</v>
      </c>
      <c r="J107" s="49">
        <f t="shared" si="23"/>
        <v>5</v>
      </c>
      <c r="K107" s="49">
        <f t="shared" si="24"/>
        <v>8</v>
      </c>
      <c r="L107" s="49">
        <f t="shared" si="25"/>
        <v>14</v>
      </c>
      <c r="M107" s="1">
        <v>6</v>
      </c>
      <c r="N107" s="229">
        <f t="shared" si="26"/>
        <v>6.5</v>
      </c>
      <c r="O107" s="827" t="s">
        <v>23</v>
      </c>
    </row>
    <row r="108" spans="1:17" ht="16" thickBot="1" x14ac:dyDescent="0.25">
      <c r="A108" s="219" t="s">
        <v>15</v>
      </c>
      <c r="B108" s="220">
        <f t="shared" ref="B108:G108" si="30">B104-B105</f>
        <v>47.16543999999999</v>
      </c>
      <c r="C108" s="220">
        <f t="shared" si="30"/>
        <v>33.088719999999995</v>
      </c>
      <c r="D108" s="220">
        <f t="shared" si="30"/>
        <v>33.088719999999995</v>
      </c>
      <c r="E108" s="220">
        <f t="shared" si="30"/>
        <v>33.088719999999995</v>
      </c>
      <c r="F108" s="220">
        <f t="shared" si="30"/>
        <v>48.686399999999992</v>
      </c>
      <c r="G108" s="221">
        <f t="shared" si="30"/>
        <v>33.088719999999995</v>
      </c>
    </row>
    <row r="109" spans="1:17" x14ac:dyDescent="0.2">
      <c r="Q109" t="s">
        <v>572</v>
      </c>
    </row>
    <row r="110" spans="1:17" x14ac:dyDescent="0.2">
      <c r="Q110" t="s">
        <v>338</v>
      </c>
    </row>
    <row r="117" spans="1:25" x14ac:dyDescent="0.2">
      <c r="A117" t="s">
        <v>288</v>
      </c>
      <c r="M117" t="s">
        <v>311</v>
      </c>
    </row>
    <row r="118" spans="1:25" x14ac:dyDescent="0.2">
      <c r="A118" t="s">
        <v>286</v>
      </c>
      <c r="C118" t="s">
        <v>287</v>
      </c>
      <c r="M118" s="42"/>
      <c r="N118" s="42" t="s">
        <v>235</v>
      </c>
      <c r="O118" s="50" t="s">
        <v>236</v>
      </c>
      <c r="P118" s="50" t="s">
        <v>1</v>
      </c>
      <c r="Q118" s="51" t="s">
        <v>237</v>
      </c>
      <c r="R118" s="51" t="s">
        <v>238</v>
      </c>
      <c r="S118" s="50" t="s">
        <v>239</v>
      </c>
      <c r="T118" s="50" t="s">
        <v>240</v>
      </c>
      <c r="U118" s="50" t="s">
        <v>246</v>
      </c>
      <c r="V118" s="40"/>
      <c r="W118" s="40"/>
      <c r="X118" s="50" t="s">
        <v>253</v>
      </c>
      <c r="Y118" s="50" t="s">
        <v>254</v>
      </c>
    </row>
    <row r="119" spans="1:25" x14ac:dyDescent="0.2">
      <c r="A119" t="s">
        <v>293</v>
      </c>
      <c r="B119" t="s">
        <v>292</v>
      </c>
      <c r="M119" s="41" t="s">
        <v>76</v>
      </c>
      <c r="N119" s="42"/>
      <c r="O119" s="42">
        <v>29.991</v>
      </c>
      <c r="P119" s="42">
        <v>2.0942599999999998</v>
      </c>
      <c r="Q119" s="42">
        <v>-4.0455900000000003E-2</v>
      </c>
      <c r="R119" s="42">
        <v>3.4070500000000001E-4</v>
      </c>
      <c r="S119" s="42">
        <v>1.4617126</v>
      </c>
      <c r="T119" s="42">
        <v>4.9249999999999998</v>
      </c>
      <c r="U119" s="42">
        <v>8.4410000000000007</v>
      </c>
      <c r="V119" s="40"/>
      <c r="W119" s="40"/>
      <c r="X119" s="42">
        <f>U119*1.96</f>
        <v>16.544360000000001</v>
      </c>
      <c r="Y119" s="42">
        <f>U119*1.645</f>
        <v>13.885445000000001</v>
      </c>
    </row>
    <row r="120" spans="1:25" x14ac:dyDescent="0.2">
      <c r="A120" t="s">
        <v>291</v>
      </c>
      <c r="B120" t="s">
        <v>289</v>
      </c>
      <c r="C120" t="s">
        <v>125</v>
      </c>
      <c r="D120" t="s">
        <v>295</v>
      </c>
      <c r="F120" t="s">
        <v>290</v>
      </c>
      <c r="M120" s="42" t="s">
        <v>229</v>
      </c>
      <c r="N120" s="42"/>
      <c r="O120" s="42">
        <v>52.872999999999998</v>
      </c>
      <c r="P120" s="42">
        <v>0.73674450000000002</v>
      </c>
      <c r="Q120" s="42">
        <v>-1.20053E-2</v>
      </c>
      <c r="R120" s="42">
        <v>1.52838E-4</v>
      </c>
      <c r="S120" s="42">
        <v>1.3280932999999999</v>
      </c>
      <c r="T120" s="42">
        <v>3.4910000000000001</v>
      </c>
      <c r="U120" s="42">
        <v>9.2769999999999992</v>
      </c>
      <c r="V120" s="40"/>
      <c r="W120" s="40"/>
      <c r="X120" s="42">
        <f>U120*1.96</f>
        <v>18.182919999999999</v>
      </c>
      <c r="Y120" s="42">
        <f>U120*1.645</f>
        <v>15.260664999999999</v>
      </c>
    </row>
    <row r="121" spans="1:25" x14ac:dyDescent="0.2">
      <c r="A121">
        <v>4</v>
      </c>
      <c r="B121">
        <v>0</v>
      </c>
      <c r="C121" s="129">
        <f>B121/$B$127</f>
        <v>0</v>
      </c>
      <c r="D121">
        <v>0</v>
      </c>
      <c r="E121" s="129">
        <f>D121/$D$127</f>
        <v>0</v>
      </c>
      <c r="F121">
        <v>1</v>
      </c>
      <c r="G121" s="129">
        <f>F121/$F$127</f>
        <v>6.6666666666666671E-3</v>
      </c>
      <c r="M121" s="42" t="s">
        <v>230</v>
      </c>
      <c r="N121" s="42"/>
      <c r="O121" s="42">
        <v>20.695</v>
      </c>
      <c r="P121" s="42">
        <v>3.0900019799999998</v>
      </c>
      <c r="Q121" s="42">
        <v>-6.4240599999999995E-2</v>
      </c>
      <c r="R121" s="42">
        <v>4.8793799999999999E-4</v>
      </c>
      <c r="S121" s="42">
        <v>1.4918918000000001</v>
      </c>
      <c r="T121" s="42">
        <v>5.734</v>
      </c>
      <c r="U121" s="42">
        <v>12.368</v>
      </c>
      <c r="V121" s="40"/>
      <c r="W121" s="40"/>
      <c r="X121" s="42">
        <f>U121*1.96</f>
        <v>24.24128</v>
      </c>
      <c r="Y121" s="42">
        <f>U121*1.645</f>
        <v>20.345359999999999</v>
      </c>
    </row>
    <row r="122" spans="1:25" x14ac:dyDescent="0.2">
      <c r="A122">
        <v>5</v>
      </c>
      <c r="B122">
        <v>0</v>
      </c>
      <c r="C122" s="129">
        <f t="shared" ref="C122:C126" si="31">B122/$B$127</f>
        <v>0</v>
      </c>
      <c r="D122">
        <v>0</v>
      </c>
      <c r="E122" s="129">
        <f t="shared" ref="E122:E126" si="32">D122/$D$127</f>
        <v>0</v>
      </c>
      <c r="F122">
        <v>1</v>
      </c>
      <c r="G122" s="129">
        <f t="shared" ref="G122:G126" si="33">F122/$F$127</f>
        <v>6.6666666666666671E-3</v>
      </c>
      <c r="M122" s="42" t="s">
        <v>231</v>
      </c>
      <c r="N122" s="42"/>
      <c r="O122" s="42">
        <v>42.779000000000003</v>
      </c>
      <c r="P122" s="42">
        <v>1.3486859</v>
      </c>
      <c r="Q122" s="42">
        <v>-1.7780899999999999E-2</v>
      </c>
      <c r="R122" s="42">
        <v>1.3258899999999999E-4</v>
      </c>
      <c r="S122" s="42">
        <v>0.84941279999999997</v>
      </c>
      <c r="T122" s="42">
        <v>7.1120000000000001</v>
      </c>
      <c r="U122" s="42">
        <v>10.617000000000001</v>
      </c>
      <c r="V122" s="40"/>
      <c r="W122" s="40"/>
      <c r="X122" s="42">
        <f>U122*1.96</f>
        <v>20.80932</v>
      </c>
      <c r="Y122" s="42">
        <f>U122*1.645</f>
        <v>17.464965000000003</v>
      </c>
    </row>
    <row r="123" spans="1:25" x14ac:dyDescent="0.2">
      <c r="A123">
        <v>6</v>
      </c>
      <c r="B123">
        <v>1</v>
      </c>
      <c r="C123" s="129">
        <f t="shared" si="31"/>
        <v>1.1764705882352941E-2</v>
      </c>
      <c r="D123">
        <v>0</v>
      </c>
      <c r="E123" s="129">
        <f t="shared" si="32"/>
        <v>0</v>
      </c>
      <c r="F123">
        <v>3</v>
      </c>
      <c r="G123" s="129">
        <f t="shared" si="33"/>
        <v>0.02</v>
      </c>
      <c r="M123" s="42" t="s">
        <v>232</v>
      </c>
      <c r="N123" s="42"/>
      <c r="O123" s="42">
        <v>52.308999999999997</v>
      </c>
      <c r="P123" s="42">
        <v>2.0864576000000001</v>
      </c>
      <c r="Q123" s="42">
        <v>-4.50319E-2</v>
      </c>
      <c r="R123" s="42">
        <v>3.6210000000000002E-4</v>
      </c>
      <c r="S123" s="42">
        <v>0.80796889999999999</v>
      </c>
      <c r="T123" s="42">
        <v>0</v>
      </c>
      <c r="U123" s="42">
        <v>12.038</v>
      </c>
      <c r="V123" s="40"/>
      <c r="W123" s="40"/>
      <c r="X123" s="42">
        <f>U123*1.96</f>
        <v>23.594480000000001</v>
      </c>
      <c r="Y123" s="42">
        <f>U123*1.645</f>
        <v>19.802510000000002</v>
      </c>
    </row>
    <row r="124" spans="1:25" x14ac:dyDescent="0.2">
      <c r="A124">
        <v>7</v>
      </c>
      <c r="B124">
        <v>2</v>
      </c>
      <c r="C124" s="129">
        <f t="shared" si="31"/>
        <v>2.3529411764705882E-2</v>
      </c>
      <c r="D124">
        <v>0</v>
      </c>
      <c r="E124" s="129">
        <f t="shared" si="32"/>
        <v>0</v>
      </c>
      <c r="F124">
        <v>11</v>
      </c>
      <c r="G124" s="129">
        <f t="shared" si="33"/>
        <v>7.3333333333333334E-2</v>
      </c>
      <c r="M124" s="40"/>
      <c r="N124" s="40"/>
      <c r="O124" s="40"/>
      <c r="P124" s="40"/>
      <c r="Q124" s="40"/>
      <c r="R124" s="40"/>
      <c r="S124" s="40"/>
      <c r="T124" s="40"/>
      <c r="U124" s="40"/>
      <c r="V124" s="40"/>
      <c r="W124" s="40"/>
      <c r="X124" s="40"/>
      <c r="Y124" s="40"/>
    </row>
    <row r="125" spans="1:25" x14ac:dyDescent="0.2">
      <c r="A125">
        <v>8</v>
      </c>
      <c r="B125">
        <v>5</v>
      </c>
      <c r="C125" s="129">
        <f t="shared" si="31"/>
        <v>5.8823529411764705E-2</v>
      </c>
      <c r="D125">
        <v>4</v>
      </c>
      <c r="E125" s="129">
        <f t="shared" si="32"/>
        <v>0.23529411764705882</v>
      </c>
      <c r="F125">
        <v>21</v>
      </c>
      <c r="G125" s="129">
        <f t="shared" si="33"/>
        <v>0.14000000000000001</v>
      </c>
      <c r="M125" s="42"/>
      <c r="N125" s="42"/>
      <c r="O125" s="42" t="s">
        <v>236</v>
      </c>
      <c r="P125" s="42" t="s">
        <v>1</v>
      </c>
      <c r="Q125" s="42" t="s">
        <v>0</v>
      </c>
      <c r="R125" s="42" t="s">
        <v>42</v>
      </c>
      <c r="S125" s="42" t="s">
        <v>42</v>
      </c>
      <c r="T125" s="42" t="s">
        <v>42</v>
      </c>
      <c r="U125" s="42" t="s">
        <v>246</v>
      </c>
      <c r="V125" s="40"/>
      <c r="W125" s="40"/>
      <c r="X125" s="50" t="s">
        <v>253</v>
      </c>
      <c r="Y125" s="50" t="s">
        <v>254</v>
      </c>
    </row>
    <row r="126" spans="1:25" x14ac:dyDescent="0.2">
      <c r="A126">
        <v>9</v>
      </c>
      <c r="B126">
        <v>77</v>
      </c>
      <c r="C126" s="129">
        <f t="shared" si="31"/>
        <v>0.90588235294117647</v>
      </c>
      <c r="D126">
        <v>13</v>
      </c>
      <c r="E126" s="129">
        <f t="shared" si="32"/>
        <v>0.76470588235294112</v>
      </c>
      <c r="F126">
        <v>113</v>
      </c>
      <c r="G126" s="129">
        <f t="shared" si="33"/>
        <v>0.7533333333333333</v>
      </c>
      <c r="M126" s="42" t="s">
        <v>77</v>
      </c>
      <c r="N126" s="42"/>
      <c r="O126" s="42">
        <v>84.77</v>
      </c>
      <c r="P126" s="42">
        <v>0.54259999999999997</v>
      </c>
      <c r="Q126" s="42">
        <v>-0.1779</v>
      </c>
      <c r="R126" s="42" t="s">
        <v>42</v>
      </c>
      <c r="S126" s="42" t="s">
        <v>42</v>
      </c>
      <c r="T126" s="42" t="s">
        <v>42</v>
      </c>
      <c r="U126" s="42">
        <v>12.032</v>
      </c>
      <c r="V126" s="40"/>
      <c r="W126" s="40"/>
      <c r="X126" s="42">
        <f>U126*1.96</f>
        <v>23.582719999999998</v>
      </c>
      <c r="Y126" s="42">
        <f>U126*1.645</f>
        <v>19.792639999999999</v>
      </c>
    </row>
    <row r="127" spans="1:25" x14ac:dyDescent="0.2">
      <c r="A127" t="s">
        <v>294</v>
      </c>
      <c r="B127">
        <f>SUM(B121:B126)</f>
        <v>85</v>
      </c>
      <c r="D127">
        <f>SUM(D121:D126)</f>
        <v>17</v>
      </c>
      <c r="F127">
        <f>SUM(F121:F126)</f>
        <v>150</v>
      </c>
      <c r="M127" s="42" t="s">
        <v>121</v>
      </c>
      <c r="N127" s="42"/>
      <c r="O127" s="42">
        <v>84.438000000000002</v>
      </c>
      <c r="P127" s="42">
        <v>0.55979999999999996</v>
      </c>
      <c r="Q127" s="42">
        <v>-0.19040000000000001</v>
      </c>
      <c r="R127" s="42" t="s">
        <v>42</v>
      </c>
      <c r="S127" s="42" t="s">
        <v>42</v>
      </c>
      <c r="T127" s="42" t="s">
        <v>42</v>
      </c>
      <c r="U127" s="42">
        <v>12.42</v>
      </c>
      <c r="V127" s="40"/>
      <c r="W127" s="40"/>
      <c r="X127" s="42">
        <f>U127*1.96</f>
        <v>24.3432</v>
      </c>
      <c r="Y127" s="42">
        <f>U127*1.645</f>
        <v>20.430900000000001</v>
      </c>
    </row>
    <row r="128" spans="1:25" x14ac:dyDescent="0.2">
      <c r="M128" s="42" t="s">
        <v>258</v>
      </c>
      <c r="N128" s="42"/>
      <c r="O128" s="42">
        <v>87.994</v>
      </c>
      <c r="P128" s="42">
        <v>0.52649999999999997</v>
      </c>
      <c r="Q128" s="42">
        <v>-0.17829999999999999</v>
      </c>
      <c r="R128" s="42" t="s">
        <v>42</v>
      </c>
      <c r="S128" s="42" t="s">
        <v>42</v>
      </c>
      <c r="T128" s="42" t="s">
        <v>42</v>
      </c>
      <c r="U128" s="42">
        <v>12.164999999999999</v>
      </c>
      <c r="V128" s="40"/>
      <c r="W128" s="40"/>
      <c r="X128" s="42">
        <f>U128*1.96</f>
        <v>23.843399999999999</v>
      </c>
      <c r="Y128" s="42">
        <f>U128*1.645</f>
        <v>20.011424999999999</v>
      </c>
    </row>
    <row r="129" spans="1:25" x14ac:dyDescent="0.2">
      <c r="M129" s="40"/>
      <c r="N129" s="40"/>
      <c r="O129" s="40"/>
      <c r="P129" s="40"/>
      <c r="Q129" s="40"/>
      <c r="R129" s="40"/>
      <c r="S129" s="40"/>
      <c r="T129" s="40"/>
      <c r="U129" s="40"/>
      <c r="V129" s="40"/>
      <c r="W129" s="40"/>
      <c r="X129" s="40"/>
      <c r="Y129" s="40"/>
    </row>
    <row r="138" spans="1:25" x14ac:dyDescent="0.2">
      <c r="A138" s="5" t="s">
        <v>211</v>
      </c>
      <c r="I138" s="5" t="s">
        <v>456</v>
      </c>
      <c r="Q138" t="s">
        <v>458</v>
      </c>
    </row>
    <row r="139" spans="1:25" x14ac:dyDescent="0.2">
      <c r="A139" t="s">
        <v>324</v>
      </c>
      <c r="I139" t="s">
        <v>324</v>
      </c>
    </row>
    <row r="140" spans="1:25" x14ac:dyDescent="0.2">
      <c r="A140" t="s">
        <v>79</v>
      </c>
      <c r="B140" t="s">
        <v>160</v>
      </c>
      <c r="I140" t="s">
        <v>79</v>
      </c>
      <c r="J140" t="s">
        <v>160</v>
      </c>
      <c r="Q140" t="s">
        <v>460</v>
      </c>
    </row>
    <row r="141" spans="1:25" x14ac:dyDescent="0.2">
      <c r="B141" t="s">
        <v>67</v>
      </c>
      <c r="C141" t="s">
        <v>68</v>
      </c>
      <c r="D141" t="s">
        <v>69</v>
      </c>
      <c r="E141" t="s">
        <v>70</v>
      </c>
      <c r="F141" t="s">
        <v>71</v>
      </c>
      <c r="G141" t="s">
        <v>72</v>
      </c>
      <c r="J141" t="s">
        <v>67</v>
      </c>
      <c r="K141" t="s">
        <v>68</v>
      </c>
      <c r="L141" t="s">
        <v>69</v>
      </c>
      <c r="M141" t="s">
        <v>70</v>
      </c>
      <c r="N141" t="s">
        <v>71</v>
      </c>
      <c r="O141" t="s">
        <v>72</v>
      </c>
      <c r="Q141" t="s">
        <v>459</v>
      </c>
    </row>
    <row r="142" spans="1:25" x14ac:dyDescent="0.2">
      <c r="A142" t="s">
        <v>82</v>
      </c>
      <c r="B142">
        <f>'RBANS Predicted Re-test Scores'!C25</f>
        <v>100.21000000000001</v>
      </c>
      <c r="C142">
        <f>'RBANS Predicted Re-test Scores'!C26</f>
        <v>83.98</v>
      </c>
      <c r="D142">
        <f>'RBANS Predicted Re-test Scores'!C27</f>
        <v>90.69</v>
      </c>
      <c r="E142">
        <f>'RBANS Predicted Re-test Scores'!C28</f>
        <v>91.42</v>
      </c>
      <c r="F142">
        <f>'RBANS Predicted Re-test Scores'!C29</f>
        <v>91.609999999999985</v>
      </c>
      <c r="G142">
        <f>'RBANS Predicted Re-test Scores'!C30</f>
        <v>83.16</v>
      </c>
      <c r="I142" t="s">
        <v>82</v>
      </c>
      <c r="J142">
        <f>'RBANS Predicted Re-test Scores'!P39</f>
        <v>80.69</v>
      </c>
      <c r="K142">
        <f>'RBANS Predicted Re-test Scores'!P40</f>
        <v>76.319999999999993</v>
      </c>
      <c r="L142">
        <f>'RBANS Predicted Re-test Scores'!P41</f>
        <v>88.2</v>
      </c>
      <c r="M142">
        <f>'RBANS Predicted Re-test Scores'!P42</f>
        <v>89.12</v>
      </c>
      <c r="N142">
        <f>'RBANS Predicted Re-test Scores'!P43</f>
        <v>88.11</v>
      </c>
      <c r="O142">
        <f>'RBANS Predicted Re-test Scores'!P44</f>
        <v>70.66</v>
      </c>
    </row>
    <row r="143" spans="1:25" x14ac:dyDescent="0.2">
      <c r="A143" t="s">
        <v>74</v>
      </c>
      <c r="B143">
        <f>($B$142)+('RBANS Predicted Re-test Scores'!$G$25*1.645)</f>
        <v>118.12405000000001</v>
      </c>
      <c r="C143">
        <f>($C$142)+('RBANS Predicted Re-test Scores'!$G$26*1.645)</f>
        <v>107.05934999999999</v>
      </c>
      <c r="D143">
        <f>($D$142)+('RBANS Predicted Re-test Scores'!$G$27*1.645)</f>
        <v>106.8768</v>
      </c>
      <c r="E143">
        <f>($E$142)+('RBANS Predicted Re-test Scores'!$G$28*1.645)</f>
        <v>112.95305</v>
      </c>
      <c r="F143">
        <f>($F$142)+('RBANS Predicted Re-test Scores'!$G$29*1.645)</f>
        <v>109.47469999999998</v>
      </c>
      <c r="G143">
        <f>($G$142)+('RBANS Predicted Re-test Scores'!$G$30*1.645)</f>
        <v>102.55454999999999</v>
      </c>
      <c r="I143" t="s">
        <v>74</v>
      </c>
      <c r="J143">
        <f>($J$142)+('RBANS Predicted Re-test Scores'!$T$39*1.645)</f>
        <v>98.916600000000003</v>
      </c>
      <c r="K143">
        <f>($K$142)+('RBANS Predicted Re-test Scores'!$T$40*1.645)</f>
        <v>96.882499999999993</v>
      </c>
      <c r="L143">
        <f>($L$142)+('RBANS Predicted Re-test Scores'!$T$41*1.645)</f>
        <v>102.65955</v>
      </c>
      <c r="M143">
        <f>($M$142)+('RBANS Predicted Re-test Scores'!$T$42*1.645)</f>
        <v>104.99425000000001</v>
      </c>
      <c r="N143">
        <f>($N$142)+('RBANS Predicted Re-test Scores'!$T$43*1.645)</f>
        <v>106.96170000000001</v>
      </c>
      <c r="O143">
        <f>($O$142)+('RBANS Predicted Re-test Scores'!$T$44*1.645)</f>
        <v>83.507449999999992</v>
      </c>
    </row>
    <row r="144" spans="1:25" x14ac:dyDescent="0.2">
      <c r="A144" t="s">
        <v>75</v>
      </c>
      <c r="B144">
        <f>($B$142)-('RBANS Predicted Re-test Scores'!$G$25*1.645)</f>
        <v>82.295950000000005</v>
      </c>
      <c r="C144">
        <f>($C$142)-('RBANS Predicted Re-test Scores'!$G$26*1.645)</f>
        <v>60.900650000000006</v>
      </c>
      <c r="D144">
        <f>($D$142)-('RBANS Predicted Re-test Scores'!$G$27*1.645)</f>
        <v>74.503199999999993</v>
      </c>
      <c r="E144">
        <f>($E$142)-('RBANS Predicted Re-test Scores'!$G$28*1.645)</f>
        <v>69.886949999999999</v>
      </c>
      <c r="F144">
        <f>($F$142)-('RBANS Predicted Re-test Scores'!$G$29*1.645)</f>
        <v>73.745299999999986</v>
      </c>
      <c r="G144">
        <f>($G$142)-('RBANS Predicted Re-test Scores'!$G$30*1.645)</f>
        <v>63.765450000000001</v>
      </c>
      <c r="I144" t="s">
        <v>75</v>
      </c>
      <c r="J144">
        <f>($J$142)-('RBANS Predicted Re-test Scores'!$T$39*1.645)</f>
        <v>62.463399999999993</v>
      </c>
      <c r="K144">
        <f>($K$142)-('RBANS Predicted Re-test Scores'!$T$40*1.645)</f>
        <v>55.757499999999993</v>
      </c>
      <c r="L144">
        <f>($L$142)-('RBANS Predicted Re-test Scores'!$T$41*1.645)</f>
        <v>73.74045000000001</v>
      </c>
      <c r="M144">
        <f>($M$142)-('RBANS Predicted Re-test Scores'!$T$42*1.645)</f>
        <v>73.245750000000001</v>
      </c>
      <c r="N144">
        <f>($N$142)-('RBANS Predicted Re-test Scores'!$T$43*1.645)</f>
        <v>69.258299999999991</v>
      </c>
      <c r="O144">
        <f>($O$142)-('RBANS Predicted Re-test Scores'!$T$44*1.645)</f>
        <v>57.812549999999995</v>
      </c>
    </row>
    <row r="145" spans="1:15" x14ac:dyDescent="0.2">
      <c r="A145" t="s">
        <v>80</v>
      </c>
      <c r="B145">
        <f>B142-22.5</f>
        <v>77.710000000000008</v>
      </c>
      <c r="C145">
        <f>C142-22.5</f>
        <v>61.480000000000004</v>
      </c>
      <c r="D145">
        <f t="shared" ref="D145:G145" si="34">D142-22.5</f>
        <v>68.19</v>
      </c>
      <c r="E145">
        <f t="shared" si="34"/>
        <v>68.92</v>
      </c>
      <c r="F145">
        <f t="shared" si="34"/>
        <v>69.109999999999985</v>
      </c>
      <c r="G145">
        <f t="shared" si="34"/>
        <v>60.66</v>
      </c>
      <c r="I145" t="s">
        <v>80</v>
      </c>
      <c r="J145">
        <f>J142-22.5</f>
        <v>58.19</v>
      </c>
      <c r="K145">
        <f>K142-22.5</f>
        <v>53.819999999999993</v>
      </c>
      <c r="L145">
        <f t="shared" ref="L145:O145" si="35">L142-22.5</f>
        <v>65.7</v>
      </c>
      <c r="M145">
        <f t="shared" si="35"/>
        <v>66.62</v>
      </c>
      <c r="N145">
        <f t="shared" si="35"/>
        <v>65.61</v>
      </c>
      <c r="O145">
        <f t="shared" si="35"/>
        <v>48.16</v>
      </c>
    </row>
    <row r="146" spans="1:15" x14ac:dyDescent="0.2">
      <c r="A146" t="s">
        <v>81</v>
      </c>
      <c r="B146">
        <f>B142-30</f>
        <v>70.210000000000008</v>
      </c>
      <c r="C146">
        <f>C142-30</f>
        <v>53.980000000000004</v>
      </c>
      <c r="D146">
        <f t="shared" ref="D146:G146" si="36">D142-30</f>
        <v>60.69</v>
      </c>
      <c r="E146">
        <f t="shared" si="36"/>
        <v>61.42</v>
      </c>
      <c r="F146">
        <f t="shared" si="36"/>
        <v>61.609999999999985</v>
      </c>
      <c r="G146">
        <f t="shared" si="36"/>
        <v>53.16</v>
      </c>
      <c r="I146" t="s">
        <v>81</v>
      </c>
      <c r="J146">
        <f>J142-30</f>
        <v>50.69</v>
      </c>
      <c r="K146">
        <f>K142-30</f>
        <v>46.319999999999993</v>
      </c>
      <c r="L146">
        <f t="shared" ref="L146:O146" si="37">L142-30</f>
        <v>58.2</v>
      </c>
      <c r="M146">
        <f t="shared" si="37"/>
        <v>59.120000000000005</v>
      </c>
      <c r="N146">
        <f t="shared" si="37"/>
        <v>58.11</v>
      </c>
      <c r="O146">
        <f t="shared" si="37"/>
        <v>40.659999999999997</v>
      </c>
    </row>
    <row r="147" spans="1:15" x14ac:dyDescent="0.2">
      <c r="A147" t="s">
        <v>15</v>
      </c>
      <c r="B147">
        <f t="shared" ref="B147:G147" si="38">B143-B144</f>
        <v>35.828100000000006</v>
      </c>
      <c r="C147">
        <f t="shared" si="38"/>
        <v>46.158699999999989</v>
      </c>
      <c r="D147">
        <f t="shared" si="38"/>
        <v>32.37360000000001</v>
      </c>
      <c r="E147">
        <f t="shared" si="38"/>
        <v>43.066100000000006</v>
      </c>
      <c r="F147">
        <f t="shared" si="38"/>
        <v>35.729399999999998</v>
      </c>
      <c r="G147">
        <f t="shared" si="38"/>
        <v>38.789099999999991</v>
      </c>
      <c r="I147" t="s">
        <v>15</v>
      </c>
      <c r="J147">
        <f t="shared" ref="J147:O147" si="39">J143-J144</f>
        <v>36.45320000000001</v>
      </c>
      <c r="K147">
        <f t="shared" si="39"/>
        <v>41.125</v>
      </c>
      <c r="L147">
        <f t="shared" si="39"/>
        <v>28.919099999999986</v>
      </c>
      <c r="M147">
        <f t="shared" si="39"/>
        <v>31.748500000000007</v>
      </c>
      <c r="N147">
        <f t="shared" si="39"/>
        <v>37.703400000000016</v>
      </c>
      <c r="O147">
        <f t="shared" si="39"/>
        <v>25.694899999999997</v>
      </c>
    </row>
    <row r="154" spans="1:15" x14ac:dyDescent="0.2">
      <c r="A154" t="s">
        <v>146</v>
      </c>
      <c r="C154" t="s">
        <v>337</v>
      </c>
      <c r="D154" t="s">
        <v>338</v>
      </c>
      <c r="E154" t="s">
        <v>339</v>
      </c>
      <c r="F154" t="s">
        <v>340</v>
      </c>
      <c r="G154" t="s">
        <v>341</v>
      </c>
    </row>
    <row r="156" spans="1:15" x14ac:dyDescent="0.2">
      <c r="A156" t="s">
        <v>333</v>
      </c>
      <c r="C156">
        <f>Effort!B48</f>
        <v>0</v>
      </c>
      <c r="D156">
        <f>Effort!B49</f>
        <v>0</v>
      </c>
      <c r="E156">
        <f>Effort!B50</f>
        <v>0</v>
      </c>
      <c r="F156">
        <f>Effort!B51</f>
        <v>0</v>
      </c>
      <c r="G156">
        <f>Effort!B52</f>
        <v>0</v>
      </c>
    </row>
    <row r="157" spans="1:15" x14ac:dyDescent="0.2">
      <c r="A157" t="s">
        <v>334</v>
      </c>
      <c r="C157">
        <v>60</v>
      </c>
      <c r="D157">
        <v>60</v>
      </c>
      <c r="E157">
        <v>49</v>
      </c>
      <c r="F157">
        <v>51</v>
      </c>
      <c r="G157">
        <v>37</v>
      </c>
    </row>
    <row r="158" spans="1:15" x14ac:dyDescent="0.2">
      <c r="A158" t="s">
        <v>335</v>
      </c>
      <c r="C158">
        <v>77</v>
      </c>
      <c r="D158">
        <v>78</v>
      </c>
      <c r="E158">
        <v>75</v>
      </c>
      <c r="F158">
        <v>46</v>
      </c>
      <c r="G158">
        <v>12</v>
      </c>
    </row>
    <row r="159" spans="1:15" x14ac:dyDescent="0.2">
      <c r="A159" t="s">
        <v>336</v>
      </c>
      <c r="C159">
        <v>84</v>
      </c>
      <c r="D159">
        <v>89</v>
      </c>
      <c r="E159">
        <v>81</v>
      </c>
      <c r="F159">
        <v>54</v>
      </c>
      <c r="G159">
        <v>31</v>
      </c>
    </row>
    <row r="161" spans="1:7" x14ac:dyDescent="0.2">
      <c r="A161" t="s">
        <v>343</v>
      </c>
      <c r="C161">
        <v>30</v>
      </c>
      <c r="D161">
        <v>30</v>
      </c>
      <c r="E161">
        <v>30</v>
      </c>
      <c r="F161">
        <v>-20</v>
      </c>
      <c r="G161">
        <v>-20</v>
      </c>
    </row>
    <row r="162" spans="1:7" x14ac:dyDescent="0.2">
      <c r="A162" t="s">
        <v>344</v>
      </c>
      <c r="C162">
        <v>40</v>
      </c>
      <c r="D162">
        <v>40</v>
      </c>
      <c r="E162">
        <v>40</v>
      </c>
      <c r="F162">
        <v>-20</v>
      </c>
      <c r="G162">
        <v>-20</v>
      </c>
    </row>
    <row r="163" spans="1:7" x14ac:dyDescent="0.2">
      <c r="A163" t="s">
        <v>351</v>
      </c>
      <c r="C163">
        <v>14</v>
      </c>
      <c r="D163">
        <v>14</v>
      </c>
      <c r="E163">
        <v>14</v>
      </c>
      <c r="F163">
        <v>-10</v>
      </c>
      <c r="G163">
        <v>-10</v>
      </c>
    </row>
    <row r="167" spans="1:7" x14ac:dyDescent="0.2">
      <c r="A167" t="s">
        <v>345</v>
      </c>
      <c r="C167" t="s">
        <v>346</v>
      </c>
      <c r="D167" t="s">
        <v>347</v>
      </c>
      <c r="E167" t="s">
        <v>338</v>
      </c>
    </row>
    <row r="168" spans="1:7" x14ac:dyDescent="0.2">
      <c r="A168" t="s">
        <v>333</v>
      </c>
      <c r="C168">
        <f>Effort!B62</f>
        <v>0</v>
      </c>
      <c r="D168">
        <f>Effort!B63</f>
        <v>0</v>
      </c>
      <c r="E168">
        <f>Effort!B64</f>
        <v>0</v>
      </c>
    </row>
    <row r="169" spans="1:7" x14ac:dyDescent="0.2">
      <c r="A169" t="s">
        <v>104</v>
      </c>
      <c r="B169">
        <v>5</v>
      </c>
      <c r="C169">
        <v>5</v>
      </c>
      <c r="D169">
        <v>5</v>
      </c>
      <c r="E169">
        <v>5</v>
      </c>
      <c r="F169">
        <v>5</v>
      </c>
    </row>
    <row r="170" spans="1:7" x14ac:dyDescent="0.2">
      <c r="A170" t="s">
        <v>348</v>
      </c>
      <c r="B170">
        <v>14</v>
      </c>
      <c r="C170">
        <v>14</v>
      </c>
      <c r="D170">
        <v>14</v>
      </c>
      <c r="E170">
        <v>14</v>
      </c>
      <c r="F170">
        <v>14</v>
      </c>
    </row>
    <row r="171" spans="1:7" x14ac:dyDescent="0.2">
      <c r="A171" t="s">
        <v>349</v>
      </c>
      <c r="B171">
        <v>14</v>
      </c>
      <c r="C171">
        <v>14</v>
      </c>
      <c r="D171">
        <v>14</v>
      </c>
      <c r="E171">
        <v>14</v>
      </c>
      <c r="F171">
        <v>14</v>
      </c>
    </row>
    <row r="172" spans="1:7" x14ac:dyDescent="0.2">
      <c r="A172" t="s">
        <v>342</v>
      </c>
      <c r="B172">
        <v>17</v>
      </c>
      <c r="C172">
        <v>17</v>
      </c>
      <c r="D172">
        <v>17</v>
      </c>
      <c r="E172">
        <v>17</v>
      </c>
      <c r="F172">
        <v>17</v>
      </c>
    </row>
    <row r="177" spans="1:17" x14ac:dyDescent="0.2">
      <c r="A177" s="5" t="s">
        <v>390</v>
      </c>
      <c r="E177" t="s">
        <v>424</v>
      </c>
    </row>
    <row r="178" spans="1:17" ht="17" x14ac:dyDescent="0.2">
      <c r="A178" t="s">
        <v>391</v>
      </c>
      <c r="B178" t="s">
        <v>398</v>
      </c>
      <c r="D178">
        <f>'Standard Tests'!B6</f>
        <v>103.13976599999997</v>
      </c>
      <c r="E178" t="s">
        <v>76</v>
      </c>
      <c r="F178" s="4">
        <f>(D178-100)/15</f>
        <v>0.20931773333333106</v>
      </c>
      <c r="G178" s="129">
        <f>_xlfn.NORM.S.DIST((F178-1),TRUE)</f>
        <v>0.21456471341418634</v>
      </c>
      <c r="H178" s="258">
        <f>_xlfn.NORM.S.DIST(F178,TRUE)</f>
        <v>0.58289989540363751</v>
      </c>
      <c r="I178" s="129">
        <f>_xlfn.NORM.S.DIST((F178+1),TRUE)</f>
        <v>0.88672959973140963</v>
      </c>
    </row>
    <row r="179" spans="1:17" ht="17" x14ac:dyDescent="0.2">
      <c r="A179" t="s">
        <v>392</v>
      </c>
      <c r="B179" t="s">
        <v>399</v>
      </c>
      <c r="D179">
        <f>'Standard Tests'!B7</f>
        <v>105.4067</v>
      </c>
      <c r="E179" t="s">
        <v>77</v>
      </c>
      <c r="F179" s="4">
        <f>(D179-100)/15</f>
        <v>0.36044666666666669</v>
      </c>
      <c r="G179" s="129">
        <f>_xlfn.NORM.S.DIST((F179-1),TRUE)</f>
        <v>0.26123151492109847</v>
      </c>
      <c r="H179" s="258">
        <f>_xlfn.NORM.S.DIST(F179,TRUE)</f>
        <v>0.64074343318901383</v>
      </c>
      <c r="I179" s="129">
        <f>_xlfn.NORM.S.DIST((F179+1),TRUE)</f>
        <v>0.9131556903286403</v>
      </c>
    </row>
    <row r="180" spans="1:17" ht="17" x14ac:dyDescent="0.2">
      <c r="A180" t="s">
        <v>393</v>
      </c>
      <c r="B180" t="s">
        <v>399</v>
      </c>
      <c r="D180">
        <f>'Standard Tests'!B8</f>
        <v>105.26920000000001</v>
      </c>
      <c r="E180" t="s">
        <v>121</v>
      </c>
      <c r="F180" s="4">
        <f>(D180-100)/15</f>
        <v>0.35128000000000081</v>
      </c>
      <c r="G180" s="129">
        <f>_xlfn.NORM.S.DIST((F180-1),TRUE)</f>
        <v>0.2582596873373092</v>
      </c>
      <c r="H180" s="258">
        <f>_xlfn.NORM.S.DIST(F180,TRUE)</f>
        <v>0.63731085111571373</v>
      </c>
      <c r="I180" s="129">
        <f>_xlfn.NORM.S.DIST((F180+1),TRUE)</f>
        <v>0.91169712189660257</v>
      </c>
    </row>
    <row r="181" spans="1:17" ht="17" x14ac:dyDescent="0.2">
      <c r="A181" t="s">
        <v>394</v>
      </c>
      <c r="B181" t="s">
        <v>400</v>
      </c>
      <c r="F181" t="s">
        <v>427</v>
      </c>
      <c r="G181" t="s">
        <v>426</v>
      </c>
    </row>
    <row r="182" spans="1:17" ht="17" x14ac:dyDescent="0.2">
      <c r="A182" t="s">
        <v>395</v>
      </c>
      <c r="B182" t="s">
        <v>400</v>
      </c>
      <c r="E182" t="s">
        <v>76</v>
      </c>
      <c r="F182" s="129">
        <f>_xlfn.NORM.S.DIST((F178-1.5),TRUE)</f>
        <v>9.8406938139520658E-2</v>
      </c>
      <c r="G182" s="129">
        <f>_xlfn.NORM.S.DIST((F178-2),TRUE)</f>
        <v>3.667214850756137E-2</v>
      </c>
    </row>
    <row r="183" spans="1:17" ht="17" x14ac:dyDescent="0.2">
      <c r="A183" t="s">
        <v>396</v>
      </c>
      <c r="B183" t="s">
        <v>401</v>
      </c>
      <c r="E183" t="s">
        <v>77</v>
      </c>
      <c r="F183" s="129">
        <f>_xlfn.NORM.S.DIST((F179-1.5),TRUE)</f>
        <v>0.12723621839898516</v>
      </c>
      <c r="G183" s="129">
        <f>_xlfn.NORM.S.DIST((F179-2),TRUE)</f>
        <v>5.0549036440568823E-2</v>
      </c>
    </row>
    <row r="184" spans="1:17" ht="17" x14ac:dyDescent="0.2">
      <c r="A184" s="346" t="s">
        <v>397</v>
      </c>
      <c r="B184" t="s">
        <v>402</v>
      </c>
      <c r="E184" t="s">
        <v>121</v>
      </c>
      <c r="F184" s="129">
        <f>_xlfn.NORM.S.DIST((F180-1.5),TRUE)</f>
        <v>0.12533572809272112</v>
      </c>
      <c r="G184" s="129">
        <f>_xlfn.NORM.S.DIST((F180-2),TRUE)</f>
        <v>4.9602505428107423E-2</v>
      </c>
    </row>
    <row r="187" spans="1:17" ht="16" thickBot="1" x14ac:dyDescent="0.25"/>
    <row r="188" spans="1:17" x14ac:dyDescent="0.2">
      <c r="D188" s="360" t="s">
        <v>79</v>
      </c>
      <c r="E188" s="361" t="s">
        <v>425</v>
      </c>
      <c r="F188" s="362"/>
      <c r="G188" s="362"/>
      <c r="H188" s="362"/>
      <c r="I188" s="362"/>
      <c r="J188" s="363"/>
    </row>
    <row r="189" spans="1:17" x14ac:dyDescent="0.2">
      <c r="D189" s="364"/>
      <c r="E189" s="365" t="s">
        <v>14</v>
      </c>
      <c r="F189" s="365" t="s">
        <v>16</v>
      </c>
      <c r="G189" s="365" t="s">
        <v>428</v>
      </c>
      <c r="H189" s="365" t="s">
        <v>429</v>
      </c>
      <c r="I189" s="365"/>
      <c r="J189" s="366"/>
      <c r="O189" s="374" t="s">
        <v>430</v>
      </c>
      <c r="P189" s="374" t="s">
        <v>82</v>
      </c>
      <c r="Q189" s="374" t="s">
        <v>431</v>
      </c>
    </row>
    <row r="190" spans="1:17" ht="17" x14ac:dyDescent="0.2">
      <c r="D190" s="364" t="s">
        <v>82</v>
      </c>
      <c r="E190" s="370">
        <f>H178</f>
        <v>0.58289989540363751</v>
      </c>
      <c r="F190" s="370">
        <f>H178</f>
        <v>0.58289989540363751</v>
      </c>
      <c r="G190" s="370">
        <f>H180</f>
        <v>0.63731085111571373</v>
      </c>
      <c r="H190" s="370">
        <f>H180</f>
        <v>0.63731085111571373</v>
      </c>
      <c r="I190" s="365"/>
      <c r="J190" s="366"/>
      <c r="N190" t="s">
        <v>391</v>
      </c>
      <c r="O190" s="375">
        <v>1</v>
      </c>
      <c r="P190" s="375">
        <f t="shared" ref="P190:P196" si="40">((O190-Q190)/2)+Q190</f>
        <v>0.88</v>
      </c>
      <c r="Q190" s="375">
        <v>0.76</v>
      </c>
    </row>
    <row r="191" spans="1:17" ht="17" x14ac:dyDescent="0.2">
      <c r="D191" s="364" t="s">
        <v>74</v>
      </c>
      <c r="E191" s="370">
        <f>I178</f>
        <v>0.88672959973140963</v>
      </c>
      <c r="F191" s="370">
        <f>I178</f>
        <v>0.88672959973140963</v>
      </c>
      <c r="G191" s="370">
        <f>I180</f>
        <v>0.91169712189660257</v>
      </c>
      <c r="H191" s="370">
        <f>I180</f>
        <v>0.91169712189660257</v>
      </c>
      <c r="I191" s="365"/>
      <c r="J191" s="366"/>
      <c r="N191" t="s">
        <v>392</v>
      </c>
      <c r="O191" s="375">
        <v>0.75</v>
      </c>
      <c r="P191" s="375">
        <f t="shared" si="40"/>
        <v>0.63</v>
      </c>
      <c r="Q191" s="375">
        <v>0.51</v>
      </c>
    </row>
    <row r="192" spans="1:17" ht="17" x14ac:dyDescent="0.2">
      <c r="D192" s="364" t="s">
        <v>75</v>
      </c>
      <c r="E192" s="370">
        <f>G178</f>
        <v>0.21456471341418634</v>
      </c>
      <c r="F192" s="370">
        <f>G178</f>
        <v>0.21456471341418634</v>
      </c>
      <c r="G192" s="370">
        <f>G180</f>
        <v>0.2582596873373092</v>
      </c>
      <c r="H192" s="370">
        <f>G180</f>
        <v>0.2582596873373092</v>
      </c>
      <c r="I192" s="365"/>
      <c r="J192" s="366"/>
      <c r="N192" t="s">
        <v>393</v>
      </c>
      <c r="O192" s="375">
        <v>0.5</v>
      </c>
      <c r="P192" s="375">
        <f t="shared" si="40"/>
        <v>0.38</v>
      </c>
      <c r="Q192" s="375">
        <v>0.26</v>
      </c>
    </row>
    <row r="193" spans="4:17" ht="17" x14ac:dyDescent="0.2">
      <c r="D193" s="364" t="s">
        <v>80</v>
      </c>
      <c r="E193" s="370">
        <f>F182</f>
        <v>9.8406938139520658E-2</v>
      </c>
      <c r="F193" s="370">
        <f>F182</f>
        <v>9.8406938139520658E-2</v>
      </c>
      <c r="G193" s="370">
        <f>F184</f>
        <v>0.12533572809272112</v>
      </c>
      <c r="H193" s="370">
        <f>F184</f>
        <v>0.12533572809272112</v>
      </c>
      <c r="I193" s="365"/>
      <c r="J193" s="366"/>
      <c r="N193" t="s">
        <v>394</v>
      </c>
      <c r="O193" s="375">
        <v>0.25</v>
      </c>
      <c r="P193" s="375">
        <f t="shared" si="40"/>
        <v>0.21000000000000002</v>
      </c>
      <c r="Q193" s="375">
        <v>0.17</v>
      </c>
    </row>
    <row r="194" spans="4:17" ht="17" x14ac:dyDescent="0.2">
      <c r="D194" s="364" t="s">
        <v>81</v>
      </c>
      <c r="E194" s="370">
        <f>G182</f>
        <v>3.667214850756137E-2</v>
      </c>
      <c r="F194" s="370">
        <f>G182</f>
        <v>3.667214850756137E-2</v>
      </c>
      <c r="G194" s="370">
        <f>G184</f>
        <v>4.9602505428107423E-2</v>
      </c>
      <c r="H194" s="370">
        <f>G184</f>
        <v>4.9602505428107423E-2</v>
      </c>
      <c r="I194" s="365"/>
      <c r="J194" s="366"/>
      <c r="N194" t="s">
        <v>395</v>
      </c>
      <c r="O194" s="375">
        <v>0.16</v>
      </c>
      <c r="P194" s="375">
        <f t="shared" si="40"/>
        <v>0.13</v>
      </c>
      <c r="Q194" s="375">
        <v>0.1</v>
      </c>
    </row>
    <row r="195" spans="4:17" ht="18" thickBot="1" x14ac:dyDescent="0.25">
      <c r="D195" s="367" t="s">
        <v>15</v>
      </c>
      <c r="E195" s="371">
        <f>E191-E192</f>
        <v>0.67216488631722326</v>
      </c>
      <c r="F195" s="371">
        <f>F191-F192</f>
        <v>0.67216488631722326</v>
      </c>
      <c r="G195" s="371">
        <f>G191-G192</f>
        <v>0.65343743455929337</v>
      </c>
      <c r="H195" s="371">
        <f>H191-H192</f>
        <v>0.65343743455929337</v>
      </c>
      <c r="I195" s="368"/>
      <c r="J195" s="369"/>
      <c r="N195" t="s">
        <v>396</v>
      </c>
      <c r="O195" s="375">
        <v>0.09</v>
      </c>
      <c r="P195" s="375">
        <f t="shared" si="40"/>
        <v>0.06</v>
      </c>
      <c r="Q195" s="375">
        <v>0.03</v>
      </c>
    </row>
    <row r="196" spans="4:17" ht="17" x14ac:dyDescent="0.2">
      <c r="D196" s="372" t="s">
        <v>432</v>
      </c>
      <c r="E196" s="373" t="str">
        <f>'Standard Tests'!D13</f>
        <v>≤2nd%</v>
      </c>
      <c r="F196" t="str">
        <f>'Standard Tests'!D14</f>
        <v>≤2nd%</v>
      </c>
      <c r="G196" t="str">
        <f>'Standard Tests'!D18</f>
        <v>26th-50th%</v>
      </c>
      <c r="H196" t="str">
        <f>'Standard Tests'!D19</f>
        <v>≤2nd%</v>
      </c>
      <c r="N196" s="346" t="s">
        <v>397</v>
      </c>
      <c r="O196" s="375">
        <v>0.02</v>
      </c>
      <c r="P196" s="375">
        <f t="shared" si="40"/>
        <v>0.01</v>
      </c>
      <c r="Q196" s="375">
        <v>0</v>
      </c>
    </row>
    <row r="197" spans="4:17" x14ac:dyDescent="0.2">
      <c r="D197" s="372" t="s">
        <v>430</v>
      </c>
      <c r="E197">
        <f>VLOOKUP(E196,$N$190:$O$196,2,FALSE)</f>
        <v>0.02</v>
      </c>
      <c r="F197">
        <f>VLOOKUP(F196,$N$190:$O$196,2,FALSE)</f>
        <v>0.02</v>
      </c>
      <c r="G197">
        <f>VLOOKUP(G196,$N$190:$O$196,2,FALSE)</f>
        <v>0.5</v>
      </c>
      <c r="H197">
        <f>VLOOKUP(H196,$N$190:$O$196,2,FALSE)</f>
        <v>0.02</v>
      </c>
    </row>
    <row r="198" spans="4:17" x14ac:dyDescent="0.2">
      <c r="D198" s="372" t="s">
        <v>82</v>
      </c>
      <c r="E198">
        <f>VLOOKUP(E196,$N$190:$P$196,3,FALSE)</f>
        <v>0.01</v>
      </c>
      <c r="F198">
        <f>VLOOKUP(F196,$N$190:$P$196,3,FALSE)</f>
        <v>0.01</v>
      </c>
      <c r="G198">
        <f>VLOOKUP(G196,$N$190:$P$196,3,FALSE)</f>
        <v>0.38</v>
      </c>
      <c r="H198">
        <f>VLOOKUP(H196,$N$190:$P$196,3,FALSE)</f>
        <v>0.01</v>
      </c>
    </row>
    <row r="199" spans="4:17" x14ac:dyDescent="0.2">
      <c r="D199" s="372" t="s">
        <v>75</v>
      </c>
      <c r="E199">
        <f>VLOOKUP(E196,$N$190:$Q$196,4,FALSE)</f>
        <v>0</v>
      </c>
      <c r="F199">
        <f>VLOOKUP(F196,$N$190:$Q$196,4,FALSE)</f>
        <v>0</v>
      </c>
      <c r="G199">
        <f>VLOOKUP(G196,$N$190:$Q$196,4,FALSE)</f>
        <v>0.26</v>
      </c>
      <c r="H199">
        <f>VLOOKUP(H196,$N$190:$Q$196,4,FALSE)</f>
        <v>0</v>
      </c>
    </row>
    <row r="200" spans="4:17" x14ac:dyDescent="0.2">
      <c r="D200" s="372" t="s">
        <v>433</v>
      </c>
      <c r="E200">
        <f>E197-E198</f>
        <v>0.01</v>
      </c>
      <c r="F200">
        <f>F197-F198</f>
        <v>0.01</v>
      </c>
      <c r="G200">
        <f>G197-G198</f>
        <v>0.12</v>
      </c>
      <c r="H200">
        <f>H197-H198</f>
        <v>0.01</v>
      </c>
    </row>
  </sheetData>
  <mergeCells count="5">
    <mergeCell ref="C58:D58"/>
    <mergeCell ref="E58:F58"/>
    <mergeCell ref="G58:H58"/>
    <mergeCell ref="I58:J58"/>
    <mergeCell ref="K58:L58"/>
  </mergeCells>
  <hyperlinks>
    <hyperlink ref="C57" r:id="rId1" xr:uid="{2AF9FB10-072A-4839-9AAB-1DBCBCA6B7B3}"/>
  </hyperlinks>
  <pageMargins left="0.7" right="0.7" top="0.75" bottom="0.75" header="0.3" footer="0.3"/>
  <pageSetup paperSize="9"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15FC2-EA20-4729-815A-7C294CE0CE63}">
  <sheetPr>
    <tabColor rgb="FFC00000"/>
  </sheetPr>
  <dimension ref="A1:CE118"/>
  <sheetViews>
    <sheetView topLeftCell="AK49" zoomScale="70" zoomScaleNormal="70" workbookViewId="0">
      <selection activeCell="BE96" sqref="BE90:BE96"/>
    </sheetView>
  </sheetViews>
  <sheetFormatPr baseColWidth="10" defaultColWidth="8.83203125" defaultRowHeight="15" x14ac:dyDescent="0.2"/>
  <cols>
    <col min="1" max="1" width="9.1640625" style="13"/>
  </cols>
  <sheetData>
    <row r="1" spans="1:63" x14ac:dyDescent="0.2">
      <c r="A1" t="s">
        <v>0</v>
      </c>
      <c r="B1" s="13">
        <f>TOPF!F11</f>
        <v>67</v>
      </c>
      <c r="C1" t="str">
        <f>IF(AND(B1&gt;=40,B1&lt;50),"40-49",IF(AND(B1&gt;=50,B1&lt;60),"50-59",IF(AND(B1&gt;=60,B1&lt;70),"60-69",IF(AND(B1&gt;=70,B1&lt;80),"70-79",IF(AND(B1&gt;=80,B1&lt;90),"80-89","N/A")))))</f>
        <v>60-69</v>
      </c>
      <c r="F1" t="s">
        <v>268</v>
      </c>
      <c r="M1" t="s">
        <v>269</v>
      </c>
      <c r="T1" t="s">
        <v>312</v>
      </c>
      <c r="AA1" t="s">
        <v>314</v>
      </c>
      <c r="AE1" s="13" t="s">
        <v>403</v>
      </c>
      <c r="AI1" t="s">
        <v>404</v>
      </c>
      <c r="AL1" s="13" t="s">
        <v>403</v>
      </c>
      <c r="AP1" t="s">
        <v>408</v>
      </c>
      <c r="AS1" s="13" t="s">
        <v>403</v>
      </c>
      <c r="AW1" t="s">
        <v>409</v>
      </c>
      <c r="AZ1" s="13" t="s">
        <v>403</v>
      </c>
      <c r="BD1" t="s">
        <v>410</v>
      </c>
      <c r="BG1" s="13" t="s">
        <v>403</v>
      </c>
      <c r="BK1" t="s">
        <v>126</v>
      </c>
    </row>
    <row r="2" spans="1:63" x14ac:dyDescent="0.2">
      <c r="A2" s="13" t="s">
        <v>88</v>
      </c>
      <c r="B2" t="s">
        <v>263</v>
      </c>
      <c r="C2" t="s">
        <v>264</v>
      </c>
      <c r="D2" t="s">
        <v>265</v>
      </c>
      <c r="E2" t="s">
        <v>266</v>
      </c>
      <c r="F2" t="s">
        <v>267</v>
      </c>
      <c r="H2" s="13" t="s">
        <v>88</v>
      </c>
      <c r="I2" t="s">
        <v>263</v>
      </c>
      <c r="J2" t="s">
        <v>264</v>
      </c>
      <c r="K2" t="s">
        <v>265</v>
      </c>
      <c r="L2" t="s">
        <v>266</v>
      </c>
      <c r="M2" t="s">
        <v>267</v>
      </c>
      <c r="O2" s="13" t="s">
        <v>88</v>
      </c>
      <c r="P2" t="s">
        <v>263</v>
      </c>
      <c r="Q2" t="s">
        <v>264</v>
      </c>
      <c r="R2" t="s">
        <v>265</v>
      </c>
      <c r="S2" t="s">
        <v>266</v>
      </c>
      <c r="T2" t="s">
        <v>267</v>
      </c>
      <c r="V2" s="13" t="s">
        <v>313</v>
      </c>
      <c r="W2" t="s">
        <v>263</v>
      </c>
      <c r="X2" t="s">
        <v>264</v>
      </c>
      <c r="Y2" t="s">
        <v>265</v>
      </c>
      <c r="Z2" t="s">
        <v>266</v>
      </c>
      <c r="AA2" t="s">
        <v>267</v>
      </c>
      <c r="AD2" t="s">
        <v>40</v>
      </c>
      <c r="AE2" t="s">
        <v>263</v>
      </c>
      <c r="AF2" t="s">
        <v>264</v>
      </c>
      <c r="AG2" t="s">
        <v>265</v>
      </c>
      <c r="AH2" t="s">
        <v>266</v>
      </c>
      <c r="AI2" t="s">
        <v>267</v>
      </c>
      <c r="AK2" t="s">
        <v>40</v>
      </c>
      <c r="AL2" t="s">
        <v>263</v>
      </c>
      <c r="AM2" t="s">
        <v>264</v>
      </c>
      <c r="AN2" t="s">
        <v>265</v>
      </c>
      <c r="AO2" t="s">
        <v>266</v>
      </c>
      <c r="AP2" t="s">
        <v>267</v>
      </c>
      <c r="AR2" t="s">
        <v>40</v>
      </c>
      <c r="AS2" t="s">
        <v>263</v>
      </c>
      <c r="AT2" t="s">
        <v>264</v>
      </c>
      <c r="AU2" t="s">
        <v>265</v>
      </c>
      <c r="AV2" t="s">
        <v>266</v>
      </c>
      <c r="AW2" t="s">
        <v>267</v>
      </c>
      <c r="AY2" t="s">
        <v>40</v>
      </c>
      <c r="AZ2" t="s">
        <v>263</v>
      </c>
      <c r="BA2" t="s">
        <v>264</v>
      </c>
      <c r="BB2" t="s">
        <v>265</v>
      </c>
      <c r="BC2" t="s">
        <v>266</v>
      </c>
      <c r="BD2" t="s">
        <v>267</v>
      </c>
      <c r="BF2" t="s">
        <v>40</v>
      </c>
      <c r="BG2" t="s">
        <v>263</v>
      </c>
      <c r="BH2" t="s">
        <v>264</v>
      </c>
      <c r="BI2" t="s">
        <v>265</v>
      </c>
      <c r="BJ2" t="s">
        <v>266</v>
      </c>
      <c r="BK2" t="s">
        <v>267</v>
      </c>
    </row>
    <row r="3" spans="1:63" x14ac:dyDescent="0.2">
      <c r="A3" s="53">
        <v>0</v>
      </c>
      <c r="B3">
        <v>1</v>
      </c>
      <c r="C3">
        <v>1</v>
      </c>
      <c r="D3">
        <v>1</v>
      </c>
      <c r="E3">
        <v>1</v>
      </c>
      <c r="F3">
        <v>1</v>
      </c>
      <c r="H3" s="53">
        <v>0</v>
      </c>
      <c r="I3">
        <v>1</v>
      </c>
      <c r="J3">
        <v>1</v>
      </c>
      <c r="K3">
        <v>1</v>
      </c>
      <c r="L3">
        <v>1</v>
      </c>
      <c r="M3">
        <v>1</v>
      </c>
      <c r="O3" s="53">
        <v>0</v>
      </c>
      <c r="P3">
        <v>1</v>
      </c>
      <c r="Q3">
        <v>1</v>
      </c>
      <c r="R3">
        <v>1</v>
      </c>
      <c r="S3">
        <v>1</v>
      </c>
      <c r="T3">
        <v>1</v>
      </c>
      <c r="V3" s="53">
        <v>0</v>
      </c>
      <c r="W3">
        <v>1</v>
      </c>
      <c r="X3">
        <v>1</v>
      </c>
      <c r="Y3">
        <v>1</v>
      </c>
      <c r="Z3">
        <v>1</v>
      </c>
      <c r="AA3">
        <v>1</v>
      </c>
      <c r="AD3" s="5">
        <v>19</v>
      </c>
      <c r="AE3" s="349">
        <v>0</v>
      </c>
      <c r="AF3" s="349">
        <v>0</v>
      </c>
      <c r="AG3" s="349">
        <v>0</v>
      </c>
      <c r="AH3" s="349">
        <v>0</v>
      </c>
      <c r="AI3" s="349">
        <v>0</v>
      </c>
      <c r="AK3" s="5">
        <v>19</v>
      </c>
      <c r="AL3" s="349">
        <v>0</v>
      </c>
      <c r="AM3" s="349">
        <v>0</v>
      </c>
      <c r="AN3" s="349">
        <v>0</v>
      </c>
      <c r="AO3" s="349">
        <v>0</v>
      </c>
      <c r="AP3" s="349">
        <v>0</v>
      </c>
      <c r="AR3" s="5">
        <v>18</v>
      </c>
      <c r="AS3" s="349">
        <v>0</v>
      </c>
      <c r="AT3" s="349">
        <v>0</v>
      </c>
      <c r="AU3" s="349">
        <v>0</v>
      </c>
      <c r="AV3" s="349">
        <v>0</v>
      </c>
      <c r="AW3" s="349">
        <v>0</v>
      </c>
      <c r="AY3" s="5">
        <v>19</v>
      </c>
      <c r="BD3" s="349">
        <v>0</v>
      </c>
      <c r="BF3" s="5">
        <v>19</v>
      </c>
    </row>
    <row r="4" spans="1:63" x14ac:dyDescent="0.2">
      <c r="A4" s="53">
        <v>1</v>
      </c>
      <c r="B4">
        <v>1</v>
      </c>
      <c r="C4">
        <v>1</v>
      </c>
      <c r="D4">
        <v>1</v>
      </c>
      <c r="E4">
        <v>1</v>
      </c>
      <c r="F4">
        <v>1</v>
      </c>
      <c r="H4" s="53">
        <v>1</v>
      </c>
      <c r="I4">
        <v>1</v>
      </c>
      <c r="J4">
        <v>1</v>
      </c>
      <c r="K4">
        <v>1</v>
      </c>
      <c r="L4">
        <v>1</v>
      </c>
      <c r="M4">
        <v>1</v>
      </c>
      <c r="O4" s="53">
        <v>1</v>
      </c>
      <c r="P4">
        <v>1</v>
      </c>
      <c r="Q4">
        <v>1</v>
      </c>
      <c r="R4">
        <v>1</v>
      </c>
      <c r="S4">
        <v>1</v>
      </c>
      <c r="T4">
        <v>1</v>
      </c>
      <c r="V4" s="53">
        <v>1</v>
      </c>
      <c r="W4">
        <v>1</v>
      </c>
      <c r="X4">
        <v>1</v>
      </c>
      <c r="Y4">
        <v>1</v>
      </c>
      <c r="Z4">
        <v>1</v>
      </c>
      <c r="AA4">
        <v>2</v>
      </c>
      <c r="AD4" s="5">
        <v>18</v>
      </c>
      <c r="AE4" s="349">
        <v>4</v>
      </c>
      <c r="AF4" s="349">
        <v>4</v>
      </c>
      <c r="AG4" s="349">
        <v>6</v>
      </c>
      <c r="AH4" s="349">
        <v>7</v>
      </c>
      <c r="AI4" s="349">
        <v>7</v>
      </c>
      <c r="AK4" s="5">
        <v>18</v>
      </c>
      <c r="AL4" s="349">
        <v>1</v>
      </c>
      <c r="AM4" s="349">
        <v>1</v>
      </c>
      <c r="AN4" s="349">
        <v>2</v>
      </c>
      <c r="AO4" s="349">
        <v>6</v>
      </c>
      <c r="AP4" s="349">
        <v>8</v>
      </c>
      <c r="AR4" s="5">
        <v>17</v>
      </c>
      <c r="AS4" s="349">
        <v>4</v>
      </c>
      <c r="AT4" s="349">
        <v>4</v>
      </c>
      <c r="AU4" s="349">
        <v>4</v>
      </c>
      <c r="AV4" s="349">
        <v>4</v>
      </c>
      <c r="AW4" s="349">
        <v>8</v>
      </c>
      <c r="AY4" s="5">
        <v>18</v>
      </c>
      <c r="BB4" s="349">
        <v>0</v>
      </c>
      <c r="BC4" s="349">
        <v>0</v>
      </c>
      <c r="BD4" s="349">
        <v>23</v>
      </c>
      <c r="BF4" s="5">
        <v>18</v>
      </c>
    </row>
    <row r="5" spans="1:63" x14ac:dyDescent="0.2">
      <c r="A5" s="53">
        <v>2</v>
      </c>
      <c r="B5">
        <v>1</v>
      </c>
      <c r="C5">
        <v>1</v>
      </c>
      <c r="D5">
        <v>1</v>
      </c>
      <c r="E5">
        <v>1</v>
      </c>
      <c r="F5">
        <v>1</v>
      </c>
      <c r="H5" s="53">
        <v>2</v>
      </c>
      <c r="I5">
        <v>1</v>
      </c>
      <c r="J5">
        <v>1</v>
      </c>
      <c r="K5">
        <v>1</v>
      </c>
      <c r="L5">
        <v>1</v>
      </c>
      <c r="M5">
        <v>1</v>
      </c>
      <c r="O5" s="53">
        <v>2</v>
      </c>
      <c r="P5">
        <v>1</v>
      </c>
      <c r="Q5">
        <v>1</v>
      </c>
      <c r="R5">
        <v>1</v>
      </c>
      <c r="S5">
        <v>1</v>
      </c>
      <c r="T5">
        <v>1</v>
      </c>
      <c r="V5" s="53">
        <v>2</v>
      </c>
      <c r="W5">
        <v>1</v>
      </c>
      <c r="X5">
        <v>1</v>
      </c>
      <c r="Y5">
        <v>1</v>
      </c>
      <c r="Z5">
        <v>1</v>
      </c>
      <c r="AA5">
        <v>3</v>
      </c>
      <c r="AD5" s="5">
        <v>17</v>
      </c>
      <c r="AE5" s="349">
        <v>6</v>
      </c>
      <c r="AF5" s="349">
        <v>6</v>
      </c>
      <c r="AG5" s="349">
        <v>9</v>
      </c>
      <c r="AH5" s="349">
        <v>10</v>
      </c>
      <c r="AI5" s="349">
        <v>10</v>
      </c>
      <c r="AK5" s="5">
        <v>17</v>
      </c>
      <c r="AL5" s="349">
        <v>5</v>
      </c>
      <c r="AM5" s="349">
        <v>5</v>
      </c>
      <c r="AN5" s="349">
        <v>8</v>
      </c>
      <c r="AO5" s="349">
        <v>12</v>
      </c>
      <c r="AP5" s="349">
        <v>15</v>
      </c>
      <c r="AR5" s="5">
        <v>16</v>
      </c>
      <c r="AS5" s="349">
        <v>8</v>
      </c>
      <c r="AT5" s="349">
        <v>9</v>
      </c>
      <c r="AU5" s="349">
        <v>9</v>
      </c>
      <c r="AV5" s="349">
        <v>11</v>
      </c>
      <c r="AW5" s="349">
        <v>17</v>
      </c>
      <c r="AY5" s="5">
        <v>17</v>
      </c>
      <c r="AZ5" s="349">
        <v>0</v>
      </c>
      <c r="BA5" s="349">
        <v>0</v>
      </c>
      <c r="BB5" s="349">
        <v>4</v>
      </c>
      <c r="BC5" s="349">
        <v>13</v>
      </c>
      <c r="BD5" s="349">
        <v>38</v>
      </c>
      <c r="BF5" s="5">
        <v>17</v>
      </c>
      <c r="BK5" s="349">
        <v>0</v>
      </c>
    </row>
    <row r="6" spans="1:63" x14ac:dyDescent="0.2">
      <c r="A6" s="53">
        <v>3</v>
      </c>
      <c r="B6">
        <v>1</v>
      </c>
      <c r="C6">
        <v>1</v>
      </c>
      <c r="D6">
        <v>1</v>
      </c>
      <c r="E6">
        <v>1</v>
      </c>
      <c r="F6">
        <v>1</v>
      </c>
      <c r="H6" s="53">
        <v>3</v>
      </c>
      <c r="I6">
        <v>1</v>
      </c>
      <c r="J6">
        <v>1</v>
      </c>
      <c r="K6">
        <v>1</v>
      </c>
      <c r="L6">
        <v>1</v>
      </c>
      <c r="M6">
        <v>1</v>
      </c>
      <c r="O6" s="53">
        <v>3</v>
      </c>
      <c r="P6">
        <v>1</v>
      </c>
      <c r="Q6">
        <v>1</v>
      </c>
      <c r="R6">
        <v>1</v>
      </c>
      <c r="S6">
        <v>1</v>
      </c>
      <c r="T6">
        <v>1</v>
      </c>
      <c r="V6" s="53">
        <v>3</v>
      </c>
      <c r="W6">
        <v>1</v>
      </c>
      <c r="X6">
        <v>1</v>
      </c>
      <c r="Y6">
        <v>2</v>
      </c>
      <c r="Z6">
        <v>2</v>
      </c>
      <c r="AA6">
        <v>4</v>
      </c>
      <c r="AD6" s="5">
        <v>16</v>
      </c>
      <c r="AE6" s="349">
        <v>8</v>
      </c>
      <c r="AF6" s="349">
        <v>8</v>
      </c>
      <c r="AG6" s="349">
        <v>11</v>
      </c>
      <c r="AH6" s="349">
        <v>13</v>
      </c>
      <c r="AI6" s="349">
        <v>13</v>
      </c>
      <c r="AK6" s="5">
        <v>16</v>
      </c>
      <c r="AL6" s="349">
        <v>8</v>
      </c>
      <c r="AM6" s="349">
        <v>10</v>
      </c>
      <c r="AN6" s="349">
        <v>13</v>
      </c>
      <c r="AO6" s="349">
        <v>18</v>
      </c>
      <c r="AP6" s="349">
        <v>21</v>
      </c>
      <c r="AR6" s="5">
        <v>15</v>
      </c>
      <c r="AS6" s="349">
        <v>11</v>
      </c>
      <c r="AT6" s="349">
        <v>14</v>
      </c>
      <c r="AU6" s="349">
        <v>14</v>
      </c>
      <c r="AV6" s="349">
        <v>18</v>
      </c>
      <c r="AW6" s="349">
        <v>25</v>
      </c>
      <c r="AY6" s="5">
        <v>16</v>
      </c>
      <c r="AZ6" s="349">
        <v>9</v>
      </c>
      <c r="BA6" s="349">
        <v>9</v>
      </c>
      <c r="BB6" s="349">
        <v>18</v>
      </c>
      <c r="BC6" s="349">
        <v>28</v>
      </c>
      <c r="BD6" s="349">
        <v>53</v>
      </c>
      <c r="BF6" s="5">
        <v>16</v>
      </c>
      <c r="BG6" s="349">
        <v>0</v>
      </c>
      <c r="BH6" s="349">
        <v>0</v>
      </c>
      <c r="BI6" s="349">
        <v>0</v>
      </c>
      <c r="BJ6" s="349">
        <v>0</v>
      </c>
      <c r="BK6" s="349">
        <v>5</v>
      </c>
    </row>
    <row r="7" spans="1:63" x14ac:dyDescent="0.2">
      <c r="A7" s="53">
        <v>4</v>
      </c>
      <c r="B7">
        <v>1</v>
      </c>
      <c r="C7">
        <v>1</v>
      </c>
      <c r="D7">
        <v>1</v>
      </c>
      <c r="E7">
        <v>1</v>
      </c>
      <c r="F7">
        <v>2</v>
      </c>
      <c r="H7" s="53">
        <v>4</v>
      </c>
      <c r="I7">
        <v>1</v>
      </c>
      <c r="J7">
        <v>1</v>
      </c>
      <c r="K7">
        <v>1</v>
      </c>
      <c r="L7">
        <v>1</v>
      </c>
      <c r="M7">
        <v>1</v>
      </c>
      <c r="O7" s="53">
        <v>4</v>
      </c>
      <c r="P7">
        <v>1</v>
      </c>
      <c r="Q7">
        <v>1</v>
      </c>
      <c r="R7">
        <v>1</v>
      </c>
      <c r="S7">
        <v>1</v>
      </c>
      <c r="T7">
        <v>2</v>
      </c>
      <c r="V7" s="53">
        <v>4</v>
      </c>
      <c r="W7">
        <v>2</v>
      </c>
      <c r="X7">
        <v>2</v>
      </c>
      <c r="Y7">
        <v>3</v>
      </c>
      <c r="Z7">
        <v>3</v>
      </c>
      <c r="AA7">
        <v>5</v>
      </c>
      <c r="AD7" s="5">
        <v>15</v>
      </c>
      <c r="AE7" s="349">
        <v>11</v>
      </c>
      <c r="AF7" s="349">
        <v>11</v>
      </c>
      <c r="AG7" s="349">
        <v>14</v>
      </c>
      <c r="AH7" s="349">
        <v>15</v>
      </c>
      <c r="AI7" s="349">
        <v>16</v>
      </c>
      <c r="AK7" s="5">
        <v>15</v>
      </c>
      <c r="AL7" s="349">
        <v>12</v>
      </c>
      <c r="AM7" s="349">
        <v>14</v>
      </c>
      <c r="AN7" s="349">
        <v>18</v>
      </c>
      <c r="AO7" s="349">
        <v>24</v>
      </c>
      <c r="AP7" s="349">
        <v>28</v>
      </c>
      <c r="AR7" s="5">
        <v>14</v>
      </c>
      <c r="AS7" s="349">
        <v>15</v>
      </c>
      <c r="AT7" s="349">
        <v>19</v>
      </c>
      <c r="AU7" s="349">
        <v>20</v>
      </c>
      <c r="AV7" s="349">
        <v>26</v>
      </c>
      <c r="AW7" s="349">
        <v>33</v>
      </c>
      <c r="AY7" s="5">
        <v>15</v>
      </c>
      <c r="AZ7" s="349">
        <v>18</v>
      </c>
      <c r="BA7" s="349">
        <v>22</v>
      </c>
      <c r="BB7" s="349">
        <v>33</v>
      </c>
      <c r="BC7" s="349">
        <v>43</v>
      </c>
      <c r="BD7" s="349">
        <v>68</v>
      </c>
      <c r="BF7" s="5">
        <v>15</v>
      </c>
      <c r="BG7" s="349">
        <v>3</v>
      </c>
      <c r="BH7" s="349">
        <v>3</v>
      </c>
      <c r="BI7" s="349">
        <v>3</v>
      </c>
      <c r="BJ7" s="349">
        <v>7</v>
      </c>
      <c r="BK7" s="349">
        <v>13</v>
      </c>
    </row>
    <row r="8" spans="1:63" x14ac:dyDescent="0.2">
      <c r="A8" s="53">
        <v>5</v>
      </c>
      <c r="B8">
        <v>1</v>
      </c>
      <c r="C8">
        <v>1</v>
      </c>
      <c r="D8">
        <v>1</v>
      </c>
      <c r="E8">
        <v>1</v>
      </c>
      <c r="F8">
        <v>2</v>
      </c>
      <c r="H8" s="53">
        <v>5</v>
      </c>
      <c r="I8">
        <v>1</v>
      </c>
      <c r="J8">
        <v>1</v>
      </c>
      <c r="K8">
        <v>1</v>
      </c>
      <c r="L8">
        <v>1</v>
      </c>
      <c r="M8">
        <v>1</v>
      </c>
      <c r="O8" s="53">
        <v>5</v>
      </c>
      <c r="P8">
        <v>1</v>
      </c>
      <c r="Q8">
        <v>1</v>
      </c>
      <c r="R8">
        <v>1</v>
      </c>
      <c r="S8">
        <v>2</v>
      </c>
      <c r="T8">
        <v>3</v>
      </c>
      <c r="V8" s="53">
        <v>5</v>
      </c>
      <c r="W8">
        <v>3</v>
      </c>
      <c r="X8">
        <v>3</v>
      </c>
      <c r="Y8">
        <v>4</v>
      </c>
      <c r="Z8">
        <v>4</v>
      </c>
      <c r="AA8">
        <v>6</v>
      </c>
      <c r="AD8" s="5">
        <v>14</v>
      </c>
      <c r="AE8" s="349">
        <v>13</v>
      </c>
      <c r="AF8" s="349">
        <v>13</v>
      </c>
      <c r="AG8" s="349">
        <v>17</v>
      </c>
      <c r="AH8" s="349">
        <v>18</v>
      </c>
      <c r="AI8" s="349">
        <v>20</v>
      </c>
      <c r="AK8" s="5">
        <v>14</v>
      </c>
      <c r="AL8" s="349">
        <v>16</v>
      </c>
      <c r="AM8" s="349">
        <v>19</v>
      </c>
      <c r="AN8" s="349">
        <v>24</v>
      </c>
      <c r="AO8" s="349">
        <v>30</v>
      </c>
      <c r="AP8" s="349">
        <v>35</v>
      </c>
      <c r="AR8" s="5">
        <v>13</v>
      </c>
      <c r="AS8" s="349">
        <v>19</v>
      </c>
      <c r="AT8" s="349">
        <v>24</v>
      </c>
      <c r="AU8" s="349">
        <v>26</v>
      </c>
      <c r="AV8" s="349">
        <v>33</v>
      </c>
      <c r="AW8" s="349">
        <v>41</v>
      </c>
      <c r="AY8" s="5">
        <v>14</v>
      </c>
      <c r="AZ8" s="349">
        <v>29</v>
      </c>
      <c r="BA8" s="349">
        <v>35</v>
      </c>
      <c r="BB8" s="349">
        <v>48</v>
      </c>
      <c r="BC8" s="349">
        <v>58</v>
      </c>
      <c r="BD8" s="349">
        <v>83</v>
      </c>
      <c r="BF8" s="5">
        <v>14</v>
      </c>
      <c r="BG8" s="349">
        <v>9</v>
      </c>
      <c r="BH8" s="349">
        <v>9</v>
      </c>
      <c r="BI8" s="349">
        <v>9</v>
      </c>
      <c r="BJ8" s="349">
        <v>15</v>
      </c>
      <c r="BK8" s="349">
        <v>21</v>
      </c>
    </row>
    <row r="9" spans="1:63" x14ac:dyDescent="0.2">
      <c r="A9" s="53">
        <v>6</v>
      </c>
      <c r="B9">
        <v>1</v>
      </c>
      <c r="C9">
        <v>1</v>
      </c>
      <c r="D9">
        <v>1</v>
      </c>
      <c r="E9">
        <v>1</v>
      </c>
      <c r="F9">
        <v>2</v>
      </c>
      <c r="H9" s="53">
        <v>6</v>
      </c>
      <c r="I9">
        <v>1</v>
      </c>
      <c r="J9">
        <v>1</v>
      </c>
      <c r="K9">
        <v>1</v>
      </c>
      <c r="L9">
        <v>1</v>
      </c>
      <c r="M9">
        <v>1</v>
      </c>
      <c r="O9" s="53">
        <v>6</v>
      </c>
      <c r="P9">
        <v>1</v>
      </c>
      <c r="Q9">
        <v>2</v>
      </c>
      <c r="R9">
        <v>2</v>
      </c>
      <c r="S9">
        <v>3</v>
      </c>
      <c r="T9">
        <v>5</v>
      </c>
      <c r="V9" s="53">
        <v>6</v>
      </c>
      <c r="W9">
        <v>4</v>
      </c>
      <c r="X9">
        <v>4</v>
      </c>
      <c r="Y9">
        <v>5</v>
      </c>
      <c r="Z9">
        <v>5</v>
      </c>
      <c r="AA9">
        <v>7</v>
      </c>
      <c r="AD9" s="5">
        <v>13</v>
      </c>
      <c r="AE9" s="349">
        <v>15</v>
      </c>
      <c r="AF9" s="349">
        <v>15</v>
      </c>
      <c r="AG9" s="349">
        <v>19</v>
      </c>
      <c r="AH9" s="349">
        <v>21</v>
      </c>
      <c r="AI9" s="349">
        <v>23</v>
      </c>
      <c r="AK9" s="5">
        <v>13</v>
      </c>
      <c r="AL9" s="349">
        <v>19</v>
      </c>
      <c r="AM9" s="349">
        <v>24</v>
      </c>
      <c r="AN9" s="349">
        <v>29</v>
      </c>
      <c r="AO9" s="349">
        <v>36</v>
      </c>
      <c r="AP9" s="349">
        <v>41</v>
      </c>
      <c r="AR9" s="5">
        <v>12</v>
      </c>
      <c r="AS9" s="349">
        <v>23</v>
      </c>
      <c r="AT9" s="349">
        <v>29</v>
      </c>
      <c r="AU9" s="349">
        <v>33</v>
      </c>
      <c r="AV9" s="349">
        <v>40</v>
      </c>
      <c r="AW9" s="349">
        <v>50</v>
      </c>
      <c r="AY9" s="5">
        <v>13</v>
      </c>
      <c r="AZ9" s="349">
        <v>39</v>
      </c>
      <c r="BA9" s="349">
        <v>48</v>
      </c>
      <c r="BB9" s="349">
        <v>62</v>
      </c>
      <c r="BC9" s="349">
        <v>73</v>
      </c>
      <c r="BD9" s="349">
        <v>98</v>
      </c>
      <c r="BF9" s="5">
        <v>13</v>
      </c>
      <c r="BG9" s="349">
        <v>13</v>
      </c>
      <c r="BH9" s="349">
        <v>13</v>
      </c>
      <c r="BI9" s="349">
        <v>16</v>
      </c>
      <c r="BJ9" s="349">
        <v>23</v>
      </c>
      <c r="BK9" s="349">
        <v>29</v>
      </c>
    </row>
    <row r="10" spans="1:63" x14ac:dyDescent="0.2">
      <c r="A10" s="53">
        <v>7</v>
      </c>
      <c r="B10">
        <v>1</v>
      </c>
      <c r="C10">
        <v>1</v>
      </c>
      <c r="D10">
        <v>1</v>
      </c>
      <c r="E10">
        <v>2</v>
      </c>
      <c r="F10">
        <v>3</v>
      </c>
      <c r="H10" s="53">
        <v>7</v>
      </c>
      <c r="I10">
        <v>1</v>
      </c>
      <c r="J10">
        <v>1</v>
      </c>
      <c r="K10">
        <v>1</v>
      </c>
      <c r="L10">
        <v>1</v>
      </c>
      <c r="M10">
        <v>1</v>
      </c>
      <c r="O10" s="53">
        <v>7</v>
      </c>
      <c r="P10">
        <v>2</v>
      </c>
      <c r="Q10">
        <v>3</v>
      </c>
      <c r="R10">
        <v>3</v>
      </c>
      <c r="S10">
        <v>4</v>
      </c>
      <c r="T10">
        <v>6</v>
      </c>
      <c r="V10" s="53">
        <v>7</v>
      </c>
      <c r="W10">
        <v>5</v>
      </c>
      <c r="X10">
        <v>5</v>
      </c>
      <c r="Y10">
        <v>6</v>
      </c>
      <c r="Z10">
        <v>6</v>
      </c>
      <c r="AA10">
        <v>8</v>
      </c>
      <c r="AD10" s="5">
        <v>12</v>
      </c>
      <c r="AE10" s="349">
        <v>18</v>
      </c>
      <c r="AF10" s="349">
        <v>18</v>
      </c>
      <c r="AG10" s="349">
        <v>22</v>
      </c>
      <c r="AH10" s="349">
        <v>23</v>
      </c>
      <c r="AI10" s="349">
        <v>26</v>
      </c>
      <c r="AK10" s="5">
        <v>12</v>
      </c>
      <c r="AL10" s="349">
        <v>23</v>
      </c>
      <c r="AM10" s="349">
        <v>28</v>
      </c>
      <c r="AN10" s="349">
        <v>34</v>
      </c>
      <c r="AO10" s="349">
        <v>42</v>
      </c>
      <c r="AP10" s="349">
        <v>48</v>
      </c>
      <c r="AR10" s="5">
        <v>11</v>
      </c>
      <c r="AS10" s="349">
        <v>27</v>
      </c>
      <c r="AT10" s="349">
        <v>34</v>
      </c>
      <c r="AU10" s="349">
        <v>40</v>
      </c>
      <c r="AV10" s="349">
        <v>48</v>
      </c>
      <c r="AW10" s="349">
        <v>58</v>
      </c>
      <c r="AY10" s="5">
        <v>12</v>
      </c>
      <c r="AZ10" s="349">
        <v>51</v>
      </c>
      <c r="BA10" s="349">
        <v>61</v>
      </c>
      <c r="BB10" s="349">
        <v>77</v>
      </c>
      <c r="BC10" s="349">
        <v>88</v>
      </c>
      <c r="BD10" s="349">
        <v>113</v>
      </c>
      <c r="BF10" s="5">
        <v>12</v>
      </c>
      <c r="BG10" s="349">
        <v>18</v>
      </c>
      <c r="BH10" s="349">
        <v>18</v>
      </c>
      <c r="BI10" s="349">
        <v>24</v>
      </c>
      <c r="BJ10" s="349">
        <v>30</v>
      </c>
      <c r="BK10" s="349">
        <v>37</v>
      </c>
    </row>
    <row r="11" spans="1:63" x14ac:dyDescent="0.2">
      <c r="A11" s="53">
        <v>8</v>
      </c>
      <c r="B11">
        <v>1</v>
      </c>
      <c r="C11">
        <v>1</v>
      </c>
      <c r="D11">
        <v>2</v>
      </c>
      <c r="E11">
        <v>2</v>
      </c>
      <c r="F11">
        <v>3</v>
      </c>
      <c r="H11" s="53">
        <v>8</v>
      </c>
      <c r="I11">
        <v>1</v>
      </c>
      <c r="J11">
        <v>1</v>
      </c>
      <c r="K11">
        <v>1</v>
      </c>
      <c r="L11">
        <v>1</v>
      </c>
      <c r="M11">
        <v>1</v>
      </c>
      <c r="O11" s="53">
        <v>8</v>
      </c>
      <c r="P11">
        <v>3</v>
      </c>
      <c r="Q11">
        <v>4</v>
      </c>
      <c r="R11">
        <v>5</v>
      </c>
      <c r="S11">
        <v>5</v>
      </c>
      <c r="T11">
        <v>7</v>
      </c>
      <c r="V11" s="53">
        <v>8</v>
      </c>
      <c r="W11">
        <v>6</v>
      </c>
      <c r="X11">
        <v>6</v>
      </c>
      <c r="Y11">
        <v>7</v>
      </c>
      <c r="Z11">
        <v>7</v>
      </c>
      <c r="AA11">
        <v>9</v>
      </c>
      <c r="AD11" s="5">
        <v>11</v>
      </c>
      <c r="AE11" s="349">
        <v>20</v>
      </c>
      <c r="AF11" s="349">
        <v>20</v>
      </c>
      <c r="AG11" s="349">
        <v>25</v>
      </c>
      <c r="AH11" s="349">
        <v>26</v>
      </c>
      <c r="AI11" s="349">
        <v>30</v>
      </c>
      <c r="AK11" s="5">
        <v>11</v>
      </c>
      <c r="AL11" s="349">
        <v>27</v>
      </c>
      <c r="AM11" s="349">
        <v>33</v>
      </c>
      <c r="AN11" s="349">
        <v>40</v>
      </c>
      <c r="AO11" s="349">
        <v>48</v>
      </c>
      <c r="AP11" s="349">
        <v>55</v>
      </c>
      <c r="AR11" s="5">
        <v>10</v>
      </c>
      <c r="AS11" s="349">
        <v>31</v>
      </c>
      <c r="AT11" s="349">
        <v>39</v>
      </c>
      <c r="AU11" s="349">
        <v>46</v>
      </c>
      <c r="AV11" s="349">
        <v>55</v>
      </c>
      <c r="AW11" s="349">
        <v>66</v>
      </c>
      <c r="AY11" s="5">
        <v>11</v>
      </c>
      <c r="AZ11" s="349">
        <v>63</v>
      </c>
      <c r="BA11" s="349">
        <v>74</v>
      </c>
      <c r="BB11" s="349">
        <v>92</v>
      </c>
      <c r="BC11" s="349">
        <v>103</v>
      </c>
      <c r="BD11" s="349">
        <v>128</v>
      </c>
      <c r="BF11" s="5">
        <v>11</v>
      </c>
      <c r="BG11" s="349">
        <v>24</v>
      </c>
      <c r="BH11" s="349">
        <v>24</v>
      </c>
      <c r="BI11" s="349">
        <v>31</v>
      </c>
      <c r="BJ11" s="349">
        <v>38</v>
      </c>
      <c r="BK11" s="349">
        <v>45</v>
      </c>
    </row>
    <row r="12" spans="1:63" x14ac:dyDescent="0.2">
      <c r="A12" s="53">
        <v>9</v>
      </c>
      <c r="B12">
        <v>1</v>
      </c>
      <c r="C12">
        <v>2</v>
      </c>
      <c r="D12">
        <v>2</v>
      </c>
      <c r="E12">
        <v>2</v>
      </c>
      <c r="F12">
        <v>3</v>
      </c>
      <c r="H12" s="53">
        <v>9</v>
      </c>
      <c r="I12">
        <v>1</v>
      </c>
      <c r="J12">
        <v>1</v>
      </c>
      <c r="K12">
        <v>1</v>
      </c>
      <c r="L12">
        <v>1</v>
      </c>
      <c r="M12">
        <v>2</v>
      </c>
      <c r="O12" s="53">
        <v>9</v>
      </c>
      <c r="P12">
        <v>4</v>
      </c>
      <c r="Q12">
        <v>5</v>
      </c>
      <c r="R12">
        <v>6</v>
      </c>
      <c r="S12">
        <v>6</v>
      </c>
      <c r="T12">
        <v>8</v>
      </c>
      <c r="V12" s="53">
        <v>9</v>
      </c>
      <c r="W12">
        <v>7</v>
      </c>
      <c r="X12">
        <v>7</v>
      </c>
      <c r="Y12">
        <v>8</v>
      </c>
      <c r="Z12">
        <v>8</v>
      </c>
      <c r="AA12">
        <v>10</v>
      </c>
      <c r="AD12" s="5">
        <v>10</v>
      </c>
      <c r="AE12" s="349">
        <v>22</v>
      </c>
      <c r="AF12" s="349">
        <v>22</v>
      </c>
      <c r="AG12" s="349">
        <v>27</v>
      </c>
      <c r="AH12" s="349">
        <v>29</v>
      </c>
      <c r="AI12" s="349">
        <v>33</v>
      </c>
      <c r="AK12" s="5">
        <v>10</v>
      </c>
      <c r="AL12" s="349">
        <v>31</v>
      </c>
      <c r="AM12" s="349">
        <v>38</v>
      </c>
      <c r="AN12" s="349">
        <v>45</v>
      </c>
      <c r="AO12" s="349">
        <v>54</v>
      </c>
      <c r="AP12" s="349">
        <v>61</v>
      </c>
      <c r="AR12" s="5">
        <v>9</v>
      </c>
      <c r="AS12" s="349">
        <v>35</v>
      </c>
      <c r="AT12" s="349">
        <v>44</v>
      </c>
      <c r="AU12" s="349">
        <v>53</v>
      </c>
      <c r="AV12" s="349">
        <v>62</v>
      </c>
      <c r="AW12" s="349">
        <v>75</v>
      </c>
      <c r="AY12" s="5">
        <v>10</v>
      </c>
      <c r="AZ12" s="349">
        <v>74</v>
      </c>
      <c r="BA12" s="349">
        <v>87</v>
      </c>
      <c r="BB12" s="349">
        <v>106</v>
      </c>
      <c r="BC12" s="349">
        <v>118</v>
      </c>
      <c r="BD12" s="349">
        <v>143</v>
      </c>
      <c r="BF12" s="5">
        <v>10</v>
      </c>
      <c r="BG12" s="349">
        <v>30</v>
      </c>
      <c r="BH12" s="349">
        <v>31</v>
      </c>
      <c r="BI12" s="349">
        <v>38</v>
      </c>
      <c r="BJ12" s="349">
        <v>46</v>
      </c>
      <c r="BK12" s="349">
        <v>53</v>
      </c>
    </row>
    <row r="13" spans="1:63" x14ac:dyDescent="0.2">
      <c r="A13" s="53">
        <v>10</v>
      </c>
      <c r="B13">
        <v>1</v>
      </c>
      <c r="C13">
        <v>2</v>
      </c>
      <c r="D13">
        <v>2</v>
      </c>
      <c r="E13">
        <v>3</v>
      </c>
      <c r="F13">
        <v>3</v>
      </c>
      <c r="H13" s="53">
        <v>10</v>
      </c>
      <c r="I13">
        <v>1</v>
      </c>
      <c r="J13">
        <v>1</v>
      </c>
      <c r="K13">
        <v>1</v>
      </c>
      <c r="L13">
        <v>1</v>
      </c>
      <c r="M13">
        <v>2</v>
      </c>
      <c r="O13" s="53">
        <v>10</v>
      </c>
      <c r="P13">
        <v>5</v>
      </c>
      <c r="Q13">
        <v>6</v>
      </c>
      <c r="R13">
        <v>7</v>
      </c>
      <c r="S13">
        <v>8</v>
      </c>
      <c r="T13">
        <v>9</v>
      </c>
      <c r="V13" s="53">
        <v>10</v>
      </c>
      <c r="W13">
        <v>8</v>
      </c>
      <c r="X13">
        <v>8</v>
      </c>
      <c r="Y13">
        <v>9</v>
      </c>
      <c r="Z13">
        <v>9</v>
      </c>
      <c r="AA13">
        <v>11</v>
      </c>
      <c r="AD13" s="5">
        <v>9</v>
      </c>
      <c r="AE13" s="349">
        <v>25</v>
      </c>
      <c r="AF13" s="349">
        <v>25</v>
      </c>
      <c r="AG13" s="349">
        <v>30</v>
      </c>
      <c r="AH13" s="349">
        <v>31</v>
      </c>
      <c r="AI13" s="349">
        <v>36</v>
      </c>
      <c r="AK13" s="5">
        <v>9</v>
      </c>
      <c r="AL13" s="349">
        <v>35</v>
      </c>
      <c r="AM13" s="349">
        <v>42</v>
      </c>
      <c r="AN13" s="349">
        <v>50</v>
      </c>
      <c r="AO13" s="349">
        <v>60</v>
      </c>
      <c r="AP13" s="349">
        <v>68</v>
      </c>
      <c r="AR13" s="5">
        <v>8</v>
      </c>
      <c r="AS13" s="349">
        <v>39</v>
      </c>
      <c r="AT13" s="349">
        <v>49</v>
      </c>
      <c r="AU13" s="349">
        <v>60</v>
      </c>
      <c r="AV13" s="349">
        <v>70</v>
      </c>
      <c r="AW13" s="349">
        <v>83</v>
      </c>
      <c r="AY13" s="5">
        <v>9</v>
      </c>
      <c r="AZ13" s="349">
        <v>85</v>
      </c>
      <c r="BA13" s="349">
        <v>100</v>
      </c>
      <c r="BB13" s="349">
        <v>121</v>
      </c>
      <c r="BC13" s="349">
        <v>133</v>
      </c>
      <c r="BD13" s="349">
        <v>158</v>
      </c>
      <c r="BF13" s="5">
        <v>9</v>
      </c>
      <c r="BG13" s="349">
        <v>36</v>
      </c>
      <c r="BH13" s="349">
        <v>38</v>
      </c>
      <c r="BI13" s="349">
        <v>46</v>
      </c>
      <c r="BJ13" s="349">
        <v>53</v>
      </c>
      <c r="BK13" s="349">
        <v>61</v>
      </c>
    </row>
    <row r="14" spans="1:63" x14ac:dyDescent="0.2">
      <c r="A14" s="53">
        <v>11</v>
      </c>
      <c r="B14">
        <v>2</v>
      </c>
      <c r="C14">
        <v>2</v>
      </c>
      <c r="D14">
        <v>3</v>
      </c>
      <c r="E14">
        <v>3</v>
      </c>
      <c r="F14">
        <v>4</v>
      </c>
      <c r="H14" s="53">
        <v>11</v>
      </c>
      <c r="I14">
        <v>1</v>
      </c>
      <c r="J14">
        <v>1</v>
      </c>
      <c r="K14">
        <v>1</v>
      </c>
      <c r="L14">
        <v>1</v>
      </c>
      <c r="M14">
        <v>2</v>
      </c>
      <c r="O14" s="53">
        <v>11</v>
      </c>
      <c r="P14">
        <v>6</v>
      </c>
      <c r="Q14">
        <v>8</v>
      </c>
      <c r="R14">
        <v>8</v>
      </c>
      <c r="S14">
        <v>9</v>
      </c>
      <c r="T14">
        <v>11</v>
      </c>
      <c r="V14" s="53">
        <v>11</v>
      </c>
      <c r="W14">
        <v>9</v>
      </c>
      <c r="X14">
        <v>9</v>
      </c>
      <c r="Y14">
        <v>10</v>
      </c>
      <c r="Z14">
        <v>10</v>
      </c>
      <c r="AA14">
        <v>12</v>
      </c>
      <c r="AD14" s="5">
        <v>8</v>
      </c>
      <c r="AE14" s="349">
        <v>27</v>
      </c>
      <c r="AF14" s="349">
        <v>27</v>
      </c>
      <c r="AG14" s="349">
        <v>33</v>
      </c>
      <c r="AH14" s="349">
        <v>34</v>
      </c>
      <c r="AI14" s="349">
        <v>40</v>
      </c>
      <c r="AK14" s="5">
        <v>8</v>
      </c>
      <c r="AL14" s="349">
        <v>39</v>
      </c>
      <c r="AM14" s="349">
        <v>47</v>
      </c>
      <c r="AN14" s="349">
        <v>56</v>
      </c>
      <c r="AO14" s="349">
        <v>66</v>
      </c>
      <c r="AP14" s="349">
        <v>75</v>
      </c>
      <c r="AR14" s="5">
        <v>7</v>
      </c>
      <c r="AS14" s="349">
        <v>43</v>
      </c>
      <c r="AT14" s="349">
        <v>54</v>
      </c>
      <c r="AU14" s="349">
        <v>66</v>
      </c>
      <c r="AV14" s="349">
        <v>77</v>
      </c>
      <c r="AW14" s="349">
        <v>91</v>
      </c>
      <c r="AY14" s="5">
        <v>8</v>
      </c>
      <c r="AZ14" s="349">
        <v>97</v>
      </c>
      <c r="BA14" s="349">
        <v>113</v>
      </c>
      <c r="BB14" s="349">
        <v>136</v>
      </c>
      <c r="BC14" s="349">
        <v>148</v>
      </c>
      <c r="BD14" s="349">
        <v>173</v>
      </c>
      <c r="BF14" s="5">
        <v>8</v>
      </c>
      <c r="BG14" s="349">
        <v>42</v>
      </c>
      <c r="BH14" s="349">
        <v>45</v>
      </c>
      <c r="BI14" s="349">
        <v>53</v>
      </c>
      <c r="BJ14" s="349">
        <v>61</v>
      </c>
      <c r="BK14" s="349">
        <v>69</v>
      </c>
    </row>
    <row r="15" spans="1:63" x14ac:dyDescent="0.2">
      <c r="A15" s="53">
        <v>12</v>
      </c>
      <c r="B15">
        <v>2</v>
      </c>
      <c r="C15">
        <v>3</v>
      </c>
      <c r="D15">
        <v>3</v>
      </c>
      <c r="E15">
        <v>3</v>
      </c>
      <c r="F15">
        <v>4</v>
      </c>
      <c r="H15" s="53">
        <v>12</v>
      </c>
      <c r="I15">
        <v>1</v>
      </c>
      <c r="J15">
        <v>1</v>
      </c>
      <c r="K15">
        <v>1</v>
      </c>
      <c r="L15">
        <v>2</v>
      </c>
      <c r="M15">
        <v>3</v>
      </c>
      <c r="O15" s="53">
        <v>12</v>
      </c>
      <c r="P15">
        <v>8</v>
      </c>
      <c r="Q15">
        <v>9</v>
      </c>
      <c r="R15">
        <v>9</v>
      </c>
      <c r="S15">
        <v>10</v>
      </c>
      <c r="T15">
        <v>12</v>
      </c>
      <c r="V15" s="53">
        <v>12</v>
      </c>
      <c r="W15">
        <v>10</v>
      </c>
      <c r="X15">
        <v>10</v>
      </c>
      <c r="Y15">
        <v>11</v>
      </c>
      <c r="Z15">
        <v>11</v>
      </c>
      <c r="AA15">
        <v>13</v>
      </c>
      <c r="AD15" s="5">
        <v>7</v>
      </c>
      <c r="AE15" s="349">
        <v>29</v>
      </c>
      <c r="AF15" s="349">
        <v>30</v>
      </c>
      <c r="AG15" s="349">
        <v>35</v>
      </c>
      <c r="AH15" s="349">
        <v>37</v>
      </c>
      <c r="AI15" s="349">
        <v>43</v>
      </c>
      <c r="AK15" s="5">
        <v>7</v>
      </c>
      <c r="AL15" s="349">
        <v>43</v>
      </c>
      <c r="AM15" s="349">
        <v>52</v>
      </c>
      <c r="AN15" s="349">
        <v>61</v>
      </c>
      <c r="AO15" s="349">
        <v>72</v>
      </c>
      <c r="AP15" s="349">
        <v>81</v>
      </c>
      <c r="AR15" s="5">
        <v>6</v>
      </c>
      <c r="AS15" s="349">
        <v>47</v>
      </c>
      <c r="AT15" s="349">
        <v>59</v>
      </c>
      <c r="AU15" s="349">
        <v>73</v>
      </c>
      <c r="AV15" s="349">
        <v>84</v>
      </c>
      <c r="AW15" s="349">
        <v>100</v>
      </c>
      <c r="AY15" s="5">
        <v>7</v>
      </c>
      <c r="AZ15" s="349">
        <v>108</v>
      </c>
      <c r="BA15" s="349">
        <v>126</v>
      </c>
      <c r="BB15" s="349">
        <v>150</v>
      </c>
      <c r="BC15" s="349">
        <v>163</v>
      </c>
      <c r="BD15" s="349">
        <v>198</v>
      </c>
      <c r="BF15" s="5">
        <v>7</v>
      </c>
      <c r="BG15" s="349">
        <v>48</v>
      </c>
      <c r="BH15" s="349">
        <v>51</v>
      </c>
      <c r="BI15" s="349">
        <v>60</v>
      </c>
      <c r="BJ15" s="349">
        <v>69</v>
      </c>
      <c r="BK15" s="349">
        <v>77</v>
      </c>
    </row>
    <row r="16" spans="1:63" x14ac:dyDescent="0.2">
      <c r="A16" s="53">
        <v>13</v>
      </c>
      <c r="B16">
        <v>2</v>
      </c>
      <c r="C16">
        <v>3</v>
      </c>
      <c r="D16">
        <v>3</v>
      </c>
      <c r="E16">
        <v>3</v>
      </c>
      <c r="F16">
        <v>4</v>
      </c>
      <c r="H16" s="53">
        <v>13</v>
      </c>
      <c r="I16">
        <v>1</v>
      </c>
      <c r="J16">
        <v>1</v>
      </c>
      <c r="K16">
        <v>1</v>
      </c>
      <c r="L16">
        <v>2</v>
      </c>
      <c r="M16">
        <v>3</v>
      </c>
      <c r="O16" s="53">
        <v>13</v>
      </c>
      <c r="P16">
        <v>9</v>
      </c>
      <c r="Q16">
        <v>10</v>
      </c>
      <c r="R16">
        <v>11</v>
      </c>
      <c r="S16">
        <v>11</v>
      </c>
      <c r="T16">
        <v>13</v>
      </c>
      <c r="V16" s="53">
        <v>13</v>
      </c>
      <c r="W16">
        <v>11</v>
      </c>
      <c r="X16">
        <v>11</v>
      </c>
      <c r="Y16">
        <v>12</v>
      </c>
      <c r="Z16">
        <v>12</v>
      </c>
      <c r="AA16">
        <v>14</v>
      </c>
      <c r="AD16" s="5">
        <v>6</v>
      </c>
      <c r="AE16" s="349">
        <v>32</v>
      </c>
      <c r="AF16" s="349">
        <v>32</v>
      </c>
      <c r="AG16" s="349">
        <v>38</v>
      </c>
      <c r="AH16" s="349">
        <v>39</v>
      </c>
      <c r="AI16" s="349">
        <v>46</v>
      </c>
      <c r="AK16" s="5">
        <v>6</v>
      </c>
      <c r="AL16" s="349">
        <v>47</v>
      </c>
      <c r="AM16" s="349">
        <v>56</v>
      </c>
      <c r="AN16" s="349">
        <v>66</v>
      </c>
      <c r="AO16" s="349">
        <v>78</v>
      </c>
      <c r="AP16" s="349">
        <v>88</v>
      </c>
      <c r="AR16" s="5">
        <v>5</v>
      </c>
      <c r="AS16" s="349">
        <v>51</v>
      </c>
      <c r="AT16" s="349">
        <v>64</v>
      </c>
      <c r="AU16" s="349">
        <v>80</v>
      </c>
      <c r="AV16" s="349">
        <v>92</v>
      </c>
      <c r="AW16" s="349">
        <v>108</v>
      </c>
      <c r="AY16" s="5">
        <v>6</v>
      </c>
      <c r="AZ16" s="349">
        <v>119</v>
      </c>
      <c r="BA16" s="349">
        <v>139</v>
      </c>
      <c r="BB16" s="349">
        <v>165</v>
      </c>
      <c r="BC16" s="349">
        <v>187</v>
      </c>
      <c r="BD16" s="349">
        <v>203</v>
      </c>
      <c r="BF16" s="5">
        <v>6</v>
      </c>
      <c r="BG16" s="349">
        <v>54</v>
      </c>
      <c r="BH16" s="349">
        <v>58</v>
      </c>
      <c r="BI16" s="349">
        <v>68</v>
      </c>
      <c r="BJ16" s="349">
        <v>76</v>
      </c>
      <c r="BK16" s="349">
        <v>85</v>
      </c>
    </row>
    <row r="17" spans="1:63" x14ac:dyDescent="0.2">
      <c r="A17" s="53">
        <v>14</v>
      </c>
      <c r="B17">
        <v>3</v>
      </c>
      <c r="C17">
        <v>3</v>
      </c>
      <c r="D17">
        <v>3</v>
      </c>
      <c r="E17">
        <v>4</v>
      </c>
      <c r="F17">
        <v>5</v>
      </c>
      <c r="H17" s="53">
        <v>14</v>
      </c>
      <c r="I17">
        <v>1</v>
      </c>
      <c r="J17">
        <v>1</v>
      </c>
      <c r="K17">
        <v>2</v>
      </c>
      <c r="L17">
        <v>2</v>
      </c>
      <c r="M17">
        <v>4</v>
      </c>
      <c r="O17" s="53">
        <v>14</v>
      </c>
      <c r="P17">
        <v>10</v>
      </c>
      <c r="Q17">
        <v>11</v>
      </c>
      <c r="R17">
        <v>12</v>
      </c>
      <c r="S17">
        <v>12</v>
      </c>
      <c r="T17">
        <v>14</v>
      </c>
      <c r="V17" s="53">
        <v>14</v>
      </c>
      <c r="W17">
        <v>12</v>
      </c>
      <c r="X17">
        <v>12</v>
      </c>
      <c r="Y17">
        <v>13</v>
      </c>
      <c r="Z17">
        <v>13</v>
      </c>
      <c r="AA17">
        <v>15</v>
      </c>
      <c r="AD17" s="5">
        <v>5</v>
      </c>
      <c r="AE17" s="349">
        <v>34</v>
      </c>
      <c r="AF17" s="349">
        <v>35</v>
      </c>
      <c r="AG17" s="349">
        <v>41</v>
      </c>
      <c r="AH17" s="349">
        <v>42</v>
      </c>
      <c r="AI17" s="349">
        <v>50</v>
      </c>
      <c r="AK17" s="5">
        <v>5</v>
      </c>
      <c r="AL17" s="349">
        <v>51</v>
      </c>
      <c r="AM17" s="349">
        <v>61</v>
      </c>
      <c r="AN17" s="349">
        <v>72</v>
      </c>
      <c r="AO17" s="349">
        <v>84</v>
      </c>
      <c r="AP17" s="349">
        <v>95</v>
      </c>
      <c r="AR17" s="5">
        <v>4</v>
      </c>
      <c r="AS17" s="349">
        <v>55</v>
      </c>
      <c r="AT17" s="349">
        <v>69</v>
      </c>
      <c r="AU17" s="349">
        <v>86</v>
      </c>
      <c r="AV17" s="349">
        <v>99</v>
      </c>
      <c r="AW17" s="349">
        <v>116</v>
      </c>
      <c r="AY17" s="5">
        <v>5</v>
      </c>
      <c r="AZ17" s="349">
        <v>131</v>
      </c>
      <c r="BA17" s="349">
        <v>152</v>
      </c>
      <c r="BB17" s="349">
        <v>180</v>
      </c>
      <c r="BC17" s="349">
        <v>193</v>
      </c>
      <c r="BD17" s="349">
        <v>218</v>
      </c>
      <c r="BF17" s="5">
        <v>5</v>
      </c>
      <c r="BG17" s="349">
        <v>60</v>
      </c>
      <c r="BH17" s="349">
        <v>65</v>
      </c>
      <c r="BI17" s="349">
        <v>75</v>
      </c>
      <c r="BJ17" s="349">
        <v>84</v>
      </c>
      <c r="BK17" s="349">
        <v>93</v>
      </c>
    </row>
    <row r="18" spans="1:63" x14ac:dyDescent="0.2">
      <c r="A18" s="53">
        <v>15</v>
      </c>
      <c r="B18">
        <v>3</v>
      </c>
      <c r="C18">
        <v>3</v>
      </c>
      <c r="D18">
        <v>4</v>
      </c>
      <c r="E18">
        <v>4</v>
      </c>
      <c r="F18">
        <v>5</v>
      </c>
      <c r="H18" s="53">
        <v>15</v>
      </c>
      <c r="I18">
        <v>1</v>
      </c>
      <c r="J18">
        <v>1</v>
      </c>
      <c r="K18">
        <v>2</v>
      </c>
      <c r="L18">
        <v>3</v>
      </c>
      <c r="M18">
        <v>4</v>
      </c>
      <c r="O18" s="53">
        <v>15</v>
      </c>
      <c r="P18">
        <v>11</v>
      </c>
      <c r="Q18">
        <v>12</v>
      </c>
      <c r="R18">
        <v>13</v>
      </c>
      <c r="S18">
        <v>14</v>
      </c>
      <c r="T18">
        <v>15</v>
      </c>
      <c r="V18" s="53">
        <v>15</v>
      </c>
      <c r="W18">
        <v>13</v>
      </c>
      <c r="X18">
        <v>13</v>
      </c>
      <c r="Y18">
        <v>14</v>
      </c>
      <c r="Z18">
        <v>14</v>
      </c>
      <c r="AA18">
        <v>16</v>
      </c>
      <c r="AD18" s="5">
        <v>4</v>
      </c>
      <c r="AE18" s="349">
        <v>36</v>
      </c>
      <c r="AF18" s="349">
        <v>37</v>
      </c>
      <c r="AG18" s="349">
        <v>43</v>
      </c>
      <c r="AH18" s="349">
        <v>45</v>
      </c>
      <c r="AI18" s="349">
        <v>53</v>
      </c>
      <c r="AK18" s="5">
        <v>4</v>
      </c>
      <c r="AL18" s="349">
        <v>55</v>
      </c>
      <c r="AM18" s="349">
        <v>66</v>
      </c>
      <c r="AN18" s="349">
        <v>77</v>
      </c>
      <c r="AO18" s="349">
        <v>90</v>
      </c>
      <c r="AP18" s="349">
        <v>101</v>
      </c>
      <c r="AR18" s="5">
        <v>3</v>
      </c>
      <c r="AS18" s="349">
        <v>59</v>
      </c>
      <c r="AT18" s="349">
        <v>74</v>
      </c>
      <c r="AU18" s="349">
        <v>93</v>
      </c>
      <c r="AV18" s="349">
        <v>106</v>
      </c>
      <c r="AW18" s="349">
        <v>125</v>
      </c>
      <c r="AY18" s="5">
        <v>4</v>
      </c>
      <c r="AZ18" s="349">
        <v>142</v>
      </c>
      <c r="BA18" s="349">
        <v>165</v>
      </c>
      <c r="BB18" s="349">
        <v>194</v>
      </c>
      <c r="BC18" s="349">
        <v>208</v>
      </c>
      <c r="BD18" s="349">
        <v>233</v>
      </c>
      <c r="BF18" s="5">
        <v>4</v>
      </c>
      <c r="BG18" s="349">
        <v>66</v>
      </c>
      <c r="BH18" s="349">
        <v>71</v>
      </c>
      <c r="BI18" s="349">
        <v>82</v>
      </c>
      <c r="BJ18" s="349">
        <v>92</v>
      </c>
      <c r="BK18" s="349">
        <v>101</v>
      </c>
    </row>
    <row r="19" spans="1:63" x14ac:dyDescent="0.2">
      <c r="A19" s="53">
        <v>16</v>
      </c>
      <c r="B19">
        <v>3</v>
      </c>
      <c r="C19">
        <v>4</v>
      </c>
      <c r="D19">
        <v>4</v>
      </c>
      <c r="E19">
        <v>4</v>
      </c>
      <c r="F19">
        <v>5</v>
      </c>
      <c r="H19" s="53">
        <v>16</v>
      </c>
      <c r="I19">
        <v>1</v>
      </c>
      <c r="J19">
        <v>1</v>
      </c>
      <c r="K19">
        <v>2</v>
      </c>
      <c r="L19">
        <v>3</v>
      </c>
      <c r="M19">
        <v>4</v>
      </c>
      <c r="O19" s="53">
        <v>16</v>
      </c>
      <c r="P19">
        <v>12</v>
      </c>
      <c r="Q19">
        <v>14</v>
      </c>
      <c r="R19">
        <v>14</v>
      </c>
      <c r="S19">
        <v>15</v>
      </c>
      <c r="T19">
        <v>17</v>
      </c>
      <c r="V19" s="53">
        <v>16</v>
      </c>
      <c r="W19">
        <v>14</v>
      </c>
      <c r="X19">
        <v>14</v>
      </c>
      <c r="Y19">
        <v>15</v>
      </c>
      <c r="Z19">
        <v>15</v>
      </c>
      <c r="AA19">
        <v>17</v>
      </c>
      <c r="AD19" s="5">
        <v>3</v>
      </c>
      <c r="AE19" s="349">
        <v>39</v>
      </c>
      <c r="AF19" s="349">
        <v>40</v>
      </c>
      <c r="AG19" s="349">
        <v>46</v>
      </c>
      <c r="AH19" s="349">
        <v>47</v>
      </c>
      <c r="AI19" s="349">
        <v>56</v>
      </c>
      <c r="AK19" s="5">
        <v>3</v>
      </c>
      <c r="AL19" s="349">
        <v>59</v>
      </c>
      <c r="AM19" s="349">
        <v>70</v>
      </c>
      <c r="AN19" s="349">
        <v>82</v>
      </c>
      <c r="AO19" s="349">
        <v>96</v>
      </c>
      <c r="AP19" s="349">
        <v>108</v>
      </c>
      <c r="AR19" s="5">
        <v>2</v>
      </c>
      <c r="AS19" s="349">
        <v>63</v>
      </c>
      <c r="AT19" s="349">
        <v>79</v>
      </c>
      <c r="AU19" s="349">
        <v>100</v>
      </c>
      <c r="AV19" s="349">
        <v>114</v>
      </c>
      <c r="AW19" s="349">
        <v>133</v>
      </c>
      <c r="AY19" s="5">
        <v>3</v>
      </c>
      <c r="AZ19" s="349">
        <v>153</v>
      </c>
      <c r="BA19" s="349">
        <v>178</v>
      </c>
      <c r="BB19" s="349">
        <v>209</v>
      </c>
      <c r="BC19" s="349">
        <v>223</v>
      </c>
      <c r="BD19" s="349">
        <v>238</v>
      </c>
      <c r="BF19" s="5">
        <v>3</v>
      </c>
      <c r="BG19" s="349">
        <v>72</v>
      </c>
      <c r="BH19" s="349">
        <v>78</v>
      </c>
      <c r="BI19" s="349">
        <v>90</v>
      </c>
      <c r="BJ19" s="349">
        <v>99</v>
      </c>
      <c r="BK19" s="349">
        <v>109</v>
      </c>
    </row>
    <row r="20" spans="1:63" x14ac:dyDescent="0.2">
      <c r="A20" s="53">
        <v>17</v>
      </c>
      <c r="B20">
        <v>3</v>
      </c>
      <c r="C20">
        <v>4</v>
      </c>
      <c r="D20">
        <v>4</v>
      </c>
      <c r="E20">
        <v>5</v>
      </c>
      <c r="F20">
        <v>6</v>
      </c>
      <c r="H20" s="53">
        <v>17</v>
      </c>
      <c r="I20">
        <v>1</v>
      </c>
      <c r="J20">
        <v>2</v>
      </c>
      <c r="K20">
        <v>3</v>
      </c>
      <c r="L20">
        <v>4</v>
      </c>
      <c r="M20">
        <v>5</v>
      </c>
      <c r="O20" s="53">
        <v>17</v>
      </c>
      <c r="P20">
        <v>14</v>
      </c>
      <c r="Q20">
        <v>15</v>
      </c>
      <c r="R20">
        <v>15</v>
      </c>
      <c r="S20">
        <v>16</v>
      </c>
      <c r="T20">
        <v>18</v>
      </c>
      <c r="V20" s="53">
        <v>17</v>
      </c>
      <c r="W20">
        <v>15</v>
      </c>
      <c r="X20">
        <v>15</v>
      </c>
      <c r="Y20">
        <v>16</v>
      </c>
      <c r="Z20">
        <v>16</v>
      </c>
      <c r="AA20">
        <v>18</v>
      </c>
      <c r="AD20" s="5">
        <v>2</v>
      </c>
      <c r="AE20" s="349">
        <v>41</v>
      </c>
      <c r="AF20" s="349">
        <v>42</v>
      </c>
      <c r="AG20" s="349">
        <v>49</v>
      </c>
      <c r="AH20" s="349">
        <v>50</v>
      </c>
      <c r="AI20" s="349">
        <v>60</v>
      </c>
      <c r="AK20" s="5">
        <v>2</v>
      </c>
      <c r="AL20" s="349">
        <v>63</v>
      </c>
      <c r="AM20" s="349">
        <v>75</v>
      </c>
      <c r="AN20" s="349">
        <v>88</v>
      </c>
      <c r="AO20" s="349">
        <v>102</v>
      </c>
      <c r="AP20" s="349">
        <v>115</v>
      </c>
      <c r="AR20" s="5">
        <v>1</v>
      </c>
      <c r="AS20" s="349">
        <v>67</v>
      </c>
      <c r="AT20" s="349">
        <v>84</v>
      </c>
      <c r="AU20" s="349">
        <v>106</v>
      </c>
      <c r="AV20" s="349">
        <v>121</v>
      </c>
      <c r="AW20" s="349">
        <v>141</v>
      </c>
      <c r="AY20" s="5">
        <v>2</v>
      </c>
      <c r="AZ20" s="349">
        <v>165</v>
      </c>
      <c r="BA20" s="349">
        <v>191</v>
      </c>
      <c r="BB20" s="349">
        <v>224</v>
      </c>
      <c r="BC20" s="349">
        <v>238</v>
      </c>
      <c r="BF20" s="5">
        <v>2</v>
      </c>
      <c r="BG20" s="349">
        <v>78</v>
      </c>
      <c r="BH20" s="349">
        <v>85</v>
      </c>
      <c r="BI20" s="349">
        <v>97</v>
      </c>
      <c r="BJ20" s="349">
        <v>107</v>
      </c>
      <c r="BK20" s="349">
        <v>117</v>
      </c>
    </row>
    <row r="21" spans="1:63" x14ac:dyDescent="0.2">
      <c r="A21" s="53">
        <v>18</v>
      </c>
      <c r="B21">
        <v>4</v>
      </c>
      <c r="C21">
        <v>4</v>
      </c>
      <c r="D21">
        <v>5</v>
      </c>
      <c r="E21">
        <v>5</v>
      </c>
      <c r="F21">
        <v>6</v>
      </c>
      <c r="H21" s="53">
        <v>18</v>
      </c>
      <c r="I21">
        <v>1</v>
      </c>
      <c r="J21">
        <v>2</v>
      </c>
      <c r="K21">
        <v>3</v>
      </c>
      <c r="L21">
        <v>4</v>
      </c>
      <c r="M21">
        <v>5</v>
      </c>
      <c r="O21" s="53">
        <v>18</v>
      </c>
      <c r="P21">
        <v>15</v>
      </c>
      <c r="Q21">
        <v>16</v>
      </c>
      <c r="R21">
        <v>17</v>
      </c>
      <c r="S21">
        <v>17</v>
      </c>
      <c r="T21">
        <v>19</v>
      </c>
      <c r="V21" s="53">
        <v>18</v>
      </c>
      <c r="W21">
        <v>16</v>
      </c>
      <c r="X21">
        <v>16</v>
      </c>
      <c r="Y21">
        <v>17</v>
      </c>
      <c r="Z21">
        <v>17</v>
      </c>
      <c r="AA21">
        <v>19</v>
      </c>
      <c r="AD21" s="5">
        <v>1</v>
      </c>
      <c r="AE21" s="349">
        <v>43</v>
      </c>
      <c r="AF21" s="349">
        <v>45</v>
      </c>
      <c r="AG21" s="349">
        <v>51</v>
      </c>
      <c r="AH21" s="349">
        <v>53</v>
      </c>
      <c r="AI21" s="349">
        <v>63</v>
      </c>
      <c r="AK21" s="5">
        <v>1</v>
      </c>
      <c r="AL21" s="349">
        <v>67</v>
      </c>
      <c r="AM21" s="349">
        <v>80</v>
      </c>
      <c r="AN21" s="349">
        <v>93</v>
      </c>
      <c r="AO21" s="349">
        <v>108</v>
      </c>
      <c r="AP21" s="349">
        <v>121</v>
      </c>
      <c r="AR21" s="5"/>
      <c r="AY21" s="5">
        <v>1</v>
      </c>
      <c r="AZ21" s="349">
        <v>176</v>
      </c>
      <c r="BA21" s="349">
        <v>204</v>
      </c>
      <c r="BB21" s="349">
        <v>238</v>
      </c>
      <c r="BF21" s="5">
        <v>1</v>
      </c>
      <c r="BG21" s="349">
        <v>84</v>
      </c>
      <c r="BH21" s="349">
        <v>91</v>
      </c>
      <c r="BI21" s="349">
        <v>104</v>
      </c>
      <c r="BJ21" s="349">
        <v>115</v>
      </c>
      <c r="BK21" s="349">
        <v>125</v>
      </c>
    </row>
    <row r="22" spans="1:63" x14ac:dyDescent="0.2">
      <c r="A22" s="53">
        <v>19</v>
      </c>
      <c r="B22">
        <v>4</v>
      </c>
      <c r="C22">
        <v>5</v>
      </c>
      <c r="D22">
        <v>5</v>
      </c>
      <c r="E22">
        <v>5</v>
      </c>
      <c r="F22">
        <v>6</v>
      </c>
      <c r="H22" s="53">
        <v>19</v>
      </c>
      <c r="I22">
        <v>2</v>
      </c>
      <c r="J22">
        <v>2</v>
      </c>
      <c r="K22">
        <v>4</v>
      </c>
      <c r="L22">
        <v>4</v>
      </c>
      <c r="M22">
        <v>6</v>
      </c>
      <c r="O22" s="53">
        <v>19</v>
      </c>
      <c r="P22">
        <v>16</v>
      </c>
      <c r="Q22">
        <v>17</v>
      </c>
      <c r="R22">
        <v>18</v>
      </c>
      <c r="S22">
        <v>18</v>
      </c>
      <c r="T22">
        <v>19</v>
      </c>
      <c r="V22" s="53">
        <v>19</v>
      </c>
      <c r="W22">
        <v>17</v>
      </c>
      <c r="X22">
        <v>17</v>
      </c>
      <c r="Y22">
        <v>18</v>
      </c>
      <c r="Z22">
        <v>18</v>
      </c>
      <c r="AA22">
        <v>19</v>
      </c>
    </row>
    <row r="23" spans="1:63" x14ac:dyDescent="0.2">
      <c r="A23" s="53">
        <v>20</v>
      </c>
      <c r="B23">
        <v>4</v>
      </c>
      <c r="C23">
        <v>5</v>
      </c>
      <c r="D23">
        <v>5</v>
      </c>
      <c r="E23">
        <v>6</v>
      </c>
      <c r="F23">
        <v>6</v>
      </c>
      <c r="H23" s="53">
        <v>20</v>
      </c>
      <c r="I23">
        <v>2</v>
      </c>
      <c r="J23">
        <v>3</v>
      </c>
      <c r="K23">
        <v>4</v>
      </c>
      <c r="L23">
        <v>5</v>
      </c>
      <c r="M23">
        <v>6</v>
      </c>
      <c r="O23" s="53">
        <v>20</v>
      </c>
      <c r="P23">
        <v>17</v>
      </c>
      <c r="Q23">
        <v>18</v>
      </c>
      <c r="R23">
        <v>19</v>
      </c>
      <c r="S23">
        <v>19</v>
      </c>
      <c r="T23">
        <v>19</v>
      </c>
      <c r="V23" s="53">
        <v>20</v>
      </c>
      <c r="W23">
        <v>18</v>
      </c>
      <c r="X23">
        <v>18</v>
      </c>
      <c r="Y23">
        <v>19</v>
      </c>
      <c r="Z23">
        <v>19</v>
      </c>
      <c r="AA23">
        <v>19</v>
      </c>
    </row>
    <row r="24" spans="1:63" x14ac:dyDescent="0.2">
      <c r="A24" s="53">
        <v>21</v>
      </c>
      <c r="B24">
        <v>5</v>
      </c>
      <c r="C24">
        <v>5</v>
      </c>
      <c r="D24">
        <v>6</v>
      </c>
      <c r="E24">
        <v>6</v>
      </c>
      <c r="F24">
        <v>7</v>
      </c>
      <c r="H24" s="53">
        <v>21</v>
      </c>
      <c r="I24">
        <v>2</v>
      </c>
      <c r="J24">
        <v>3</v>
      </c>
      <c r="K24">
        <v>4</v>
      </c>
      <c r="L24">
        <v>5</v>
      </c>
      <c r="M24">
        <v>6</v>
      </c>
      <c r="O24" s="53">
        <v>21</v>
      </c>
      <c r="P24">
        <v>18</v>
      </c>
      <c r="Q24">
        <v>19</v>
      </c>
      <c r="R24">
        <v>19</v>
      </c>
      <c r="S24">
        <v>19</v>
      </c>
      <c r="T24">
        <v>19</v>
      </c>
      <c r="V24" s="53">
        <v>21</v>
      </c>
      <c r="W24">
        <v>19</v>
      </c>
      <c r="X24">
        <v>19</v>
      </c>
      <c r="Y24">
        <v>19</v>
      </c>
      <c r="Z24">
        <v>19</v>
      </c>
      <c r="AA24">
        <v>19</v>
      </c>
    </row>
    <row r="25" spans="1:63" x14ac:dyDescent="0.2">
      <c r="A25" s="53">
        <v>22</v>
      </c>
      <c r="B25">
        <v>5</v>
      </c>
      <c r="C25">
        <v>6</v>
      </c>
      <c r="D25">
        <v>6</v>
      </c>
      <c r="E25">
        <v>6</v>
      </c>
      <c r="F25">
        <v>7</v>
      </c>
      <c r="H25" s="53">
        <v>22</v>
      </c>
      <c r="I25">
        <v>3</v>
      </c>
      <c r="J25">
        <v>4</v>
      </c>
      <c r="K25">
        <v>5</v>
      </c>
      <c r="L25">
        <v>6</v>
      </c>
      <c r="M25">
        <v>7</v>
      </c>
      <c r="O25" s="53">
        <v>22</v>
      </c>
      <c r="P25">
        <v>19</v>
      </c>
      <c r="Q25">
        <v>19</v>
      </c>
      <c r="R25">
        <v>19</v>
      </c>
      <c r="S25">
        <v>19</v>
      </c>
      <c r="T25">
        <v>19</v>
      </c>
      <c r="V25" s="53">
        <v>22</v>
      </c>
      <c r="W25">
        <v>19</v>
      </c>
      <c r="X25">
        <v>19</v>
      </c>
      <c r="Y25">
        <v>19</v>
      </c>
      <c r="Z25">
        <v>19</v>
      </c>
      <c r="AA25">
        <v>19</v>
      </c>
    </row>
    <row r="26" spans="1:63" x14ac:dyDescent="0.2">
      <c r="A26" s="53">
        <v>23</v>
      </c>
      <c r="B26">
        <v>5</v>
      </c>
      <c r="C26">
        <v>6</v>
      </c>
      <c r="D26">
        <v>6</v>
      </c>
      <c r="E26">
        <v>6</v>
      </c>
      <c r="F26">
        <v>7</v>
      </c>
      <c r="H26" s="53">
        <v>23</v>
      </c>
      <c r="I26">
        <v>3</v>
      </c>
      <c r="J26">
        <v>4</v>
      </c>
      <c r="K26">
        <v>5</v>
      </c>
      <c r="L26">
        <v>6</v>
      </c>
      <c r="M26">
        <v>7</v>
      </c>
      <c r="O26" s="53">
        <v>23</v>
      </c>
      <c r="P26">
        <v>19</v>
      </c>
      <c r="Q26">
        <v>19</v>
      </c>
      <c r="R26">
        <v>19</v>
      </c>
      <c r="S26">
        <v>19</v>
      </c>
      <c r="T26">
        <v>19</v>
      </c>
      <c r="V26" s="53">
        <v>23</v>
      </c>
      <c r="W26">
        <v>19</v>
      </c>
      <c r="X26">
        <v>19</v>
      </c>
      <c r="Y26">
        <v>19</v>
      </c>
      <c r="Z26">
        <v>19</v>
      </c>
      <c r="AA26">
        <v>19</v>
      </c>
    </row>
    <row r="27" spans="1:63" x14ac:dyDescent="0.2">
      <c r="A27" s="53">
        <v>24</v>
      </c>
      <c r="B27">
        <v>6</v>
      </c>
      <c r="C27">
        <v>6</v>
      </c>
      <c r="D27">
        <v>6</v>
      </c>
      <c r="E27">
        <v>7</v>
      </c>
      <c r="F27">
        <v>8</v>
      </c>
      <c r="H27" s="53">
        <v>24</v>
      </c>
      <c r="I27">
        <v>4</v>
      </c>
      <c r="J27">
        <v>4</v>
      </c>
      <c r="K27">
        <v>6</v>
      </c>
      <c r="L27">
        <v>6</v>
      </c>
      <c r="M27">
        <v>8</v>
      </c>
      <c r="O27" s="53">
        <v>24</v>
      </c>
      <c r="P27">
        <v>19</v>
      </c>
      <c r="Q27">
        <v>19</v>
      </c>
      <c r="R27">
        <v>19</v>
      </c>
      <c r="S27">
        <v>19</v>
      </c>
      <c r="T27">
        <v>19</v>
      </c>
      <c r="V27" s="53">
        <v>24</v>
      </c>
      <c r="W27">
        <v>19</v>
      </c>
      <c r="X27">
        <v>19</v>
      </c>
      <c r="Y27">
        <v>19</v>
      </c>
      <c r="Z27">
        <v>19</v>
      </c>
      <c r="AA27">
        <v>19</v>
      </c>
    </row>
    <row r="28" spans="1:63" x14ac:dyDescent="0.2">
      <c r="A28" s="53">
        <v>25</v>
      </c>
      <c r="B28">
        <v>6</v>
      </c>
      <c r="C28">
        <v>6</v>
      </c>
      <c r="D28">
        <v>7</v>
      </c>
      <c r="E28">
        <v>7</v>
      </c>
      <c r="F28">
        <v>8</v>
      </c>
      <c r="H28" s="53">
        <v>25</v>
      </c>
      <c r="I28">
        <v>4</v>
      </c>
      <c r="J28">
        <v>5</v>
      </c>
      <c r="K28">
        <v>6</v>
      </c>
      <c r="L28">
        <v>7</v>
      </c>
      <c r="M28">
        <v>8</v>
      </c>
      <c r="O28" s="53">
        <v>25</v>
      </c>
      <c r="P28">
        <v>19</v>
      </c>
      <c r="Q28">
        <v>19</v>
      </c>
      <c r="R28">
        <v>19</v>
      </c>
      <c r="S28">
        <v>19</v>
      </c>
      <c r="T28">
        <v>19</v>
      </c>
      <c r="V28" s="53">
        <v>25</v>
      </c>
      <c r="W28">
        <v>19</v>
      </c>
      <c r="X28">
        <v>19</v>
      </c>
      <c r="Y28">
        <v>19</v>
      </c>
      <c r="Z28">
        <v>19</v>
      </c>
      <c r="AA28">
        <v>19</v>
      </c>
    </row>
    <row r="29" spans="1:63" x14ac:dyDescent="0.2">
      <c r="A29" s="53">
        <v>26</v>
      </c>
      <c r="B29">
        <v>6</v>
      </c>
      <c r="C29">
        <v>7</v>
      </c>
      <c r="D29">
        <v>7</v>
      </c>
      <c r="E29">
        <v>7</v>
      </c>
      <c r="F29">
        <v>8</v>
      </c>
      <c r="H29" s="53">
        <v>26</v>
      </c>
      <c r="I29">
        <v>4</v>
      </c>
      <c r="J29">
        <v>5</v>
      </c>
      <c r="K29">
        <v>6</v>
      </c>
      <c r="L29">
        <v>7</v>
      </c>
      <c r="M29">
        <v>8</v>
      </c>
    </row>
    <row r="30" spans="1:63" x14ac:dyDescent="0.2">
      <c r="A30" s="53">
        <v>27</v>
      </c>
      <c r="B30">
        <v>6</v>
      </c>
      <c r="C30">
        <v>7</v>
      </c>
      <c r="D30">
        <v>7</v>
      </c>
      <c r="E30">
        <v>8</v>
      </c>
      <c r="F30">
        <v>9</v>
      </c>
      <c r="H30" s="53">
        <v>27</v>
      </c>
      <c r="I30">
        <v>5</v>
      </c>
      <c r="J30">
        <v>6</v>
      </c>
      <c r="K30">
        <v>7</v>
      </c>
      <c r="L30">
        <v>8</v>
      </c>
      <c r="M30">
        <v>9</v>
      </c>
    </row>
    <row r="31" spans="1:63" x14ac:dyDescent="0.2">
      <c r="A31" s="53">
        <v>28</v>
      </c>
      <c r="B31">
        <v>7</v>
      </c>
      <c r="C31">
        <v>7</v>
      </c>
      <c r="D31">
        <v>8</v>
      </c>
      <c r="E31">
        <v>8</v>
      </c>
      <c r="F31">
        <v>9</v>
      </c>
      <c r="H31" s="53">
        <v>28</v>
      </c>
      <c r="I31">
        <v>5</v>
      </c>
      <c r="J31">
        <v>6</v>
      </c>
      <c r="K31">
        <v>7</v>
      </c>
      <c r="L31">
        <v>8</v>
      </c>
      <c r="M31">
        <v>9</v>
      </c>
      <c r="AA31" t="s">
        <v>404</v>
      </c>
      <c r="AH31" t="s">
        <v>408</v>
      </c>
      <c r="AO31" t="s">
        <v>409</v>
      </c>
      <c r="AV31" t="s">
        <v>410</v>
      </c>
      <c r="BC31" t="s">
        <v>126</v>
      </c>
    </row>
    <row r="32" spans="1:63" x14ac:dyDescent="0.2">
      <c r="A32" s="53">
        <v>29</v>
      </c>
      <c r="B32">
        <v>7</v>
      </c>
      <c r="C32">
        <v>8</v>
      </c>
      <c r="D32">
        <v>8</v>
      </c>
      <c r="E32">
        <v>8</v>
      </c>
      <c r="F32">
        <v>9</v>
      </c>
      <c r="H32" s="53">
        <v>29</v>
      </c>
      <c r="I32">
        <v>6</v>
      </c>
      <c r="J32">
        <v>6</v>
      </c>
      <c r="K32">
        <v>8</v>
      </c>
      <c r="L32">
        <v>8</v>
      </c>
      <c r="M32">
        <v>10</v>
      </c>
      <c r="AA32" t="s">
        <v>0</v>
      </c>
      <c r="AB32" t="str">
        <f>C1</f>
        <v>60-69</v>
      </c>
      <c r="AH32" t="s">
        <v>0</v>
      </c>
      <c r="AI32" t="str">
        <f>AB32</f>
        <v>60-69</v>
      </c>
      <c r="AO32" t="s">
        <v>0</v>
      </c>
      <c r="AP32" t="str">
        <f>AI32</f>
        <v>60-69</v>
      </c>
      <c r="AV32" t="s">
        <v>0</v>
      </c>
      <c r="AW32" t="str">
        <f>AP32</f>
        <v>60-69</v>
      </c>
      <c r="BC32" t="s">
        <v>0</v>
      </c>
      <c r="BD32" t="str">
        <f>AW32</f>
        <v>60-69</v>
      </c>
    </row>
    <row r="33" spans="1:56" x14ac:dyDescent="0.2">
      <c r="A33" s="53">
        <v>30</v>
      </c>
      <c r="B33">
        <v>7</v>
      </c>
      <c r="C33">
        <v>8</v>
      </c>
      <c r="D33">
        <v>8</v>
      </c>
      <c r="E33">
        <v>9</v>
      </c>
      <c r="F33">
        <v>9</v>
      </c>
      <c r="H33" s="53">
        <v>30</v>
      </c>
      <c r="I33">
        <v>6</v>
      </c>
      <c r="J33">
        <v>7</v>
      </c>
      <c r="K33">
        <v>8</v>
      </c>
      <c r="L33">
        <v>9</v>
      </c>
      <c r="M33">
        <v>10</v>
      </c>
    </row>
    <row r="34" spans="1:56" x14ac:dyDescent="0.2">
      <c r="A34" s="53">
        <v>31</v>
      </c>
      <c r="B34">
        <v>8</v>
      </c>
      <c r="C34">
        <v>8</v>
      </c>
      <c r="D34">
        <v>9</v>
      </c>
      <c r="E34">
        <v>9</v>
      </c>
      <c r="F34">
        <v>10</v>
      </c>
      <c r="H34" s="53">
        <v>31</v>
      </c>
      <c r="I34">
        <v>6</v>
      </c>
      <c r="J34">
        <v>7</v>
      </c>
      <c r="K34">
        <v>8</v>
      </c>
      <c r="L34">
        <v>9</v>
      </c>
      <c r="M34">
        <v>10</v>
      </c>
      <c r="AA34" t="s">
        <v>403</v>
      </c>
      <c r="AB34">
        <f>'Standard Tests'!B30</f>
        <v>0</v>
      </c>
      <c r="AH34" t="s">
        <v>403</v>
      </c>
      <c r="AI34">
        <f>'Standard Tests'!B31</f>
        <v>0</v>
      </c>
      <c r="AO34" t="s">
        <v>403</v>
      </c>
      <c r="AP34">
        <f>'Standard Tests'!B32</f>
        <v>0</v>
      </c>
      <c r="AV34" t="s">
        <v>403</v>
      </c>
      <c r="AW34">
        <f>'Standard Tests'!B33</f>
        <v>0</v>
      </c>
      <c r="BC34" t="s">
        <v>403</v>
      </c>
      <c r="BD34">
        <f>'Standard Tests'!B34</f>
        <v>0</v>
      </c>
    </row>
    <row r="35" spans="1:56" x14ac:dyDescent="0.2">
      <c r="A35" s="53">
        <v>32</v>
      </c>
      <c r="B35">
        <v>8</v>
      </c>
      <c r="C35">
        <v>9</v>
      </c>
      <c r="D35">
        <v>9</v>
      </c>
      <c r="E35">
        <v>9</v>
      </c>
      <c r="F35">
        <v>10</v>
      </c>
      <c r="H35" s="53">
        <v>32</v>
      </c>
      <c r="I35">
        <v>7</v>
      </c>
      <c r="J35">
        <v>8</v>
      </c>
      <c r="K35">
        <v>9</v>
      </c>
      <c r="L35">
        <v>10</v>
      </c>
      <c r="M35">
        <v>11</v>
      </c>
    </row>
    <row r="36" spans="1:56" x14ac:dyDescent="0.2">
      <c r="A36" s="53">
        <v>33</v>
      </c>
      <c r="B36">
        <v>8</v>
      </c>
      <c r="C36">
        <v>9</v>
      </c>
      <c r="D36">
        <v>9</v>
      </c>
      <c r="E36">
        <v>9</v>
      </c>
      <c r="F36">
        <v>10</v>
      </c>
      <c r="H36" s="53">
        <v>33</v>
      </c>
      <c r="I36">
        <v>7</v>
      </c>
      <c r="J36">
        <v>8</v>
      </c>
      <c r="K36">
        <v>9</v>
      </c>
      <c r="L36">
        <v>10</v>
      </c>
      <c r="M36">
        <v>11</v>
      </c>
      <c r="AA36" t="s">
        <v>405</v>
      </c>
      <c r="AB36">
        <f>IF(AB32="40-49",LOOKUP($AB$34,AE3:AE21,AD3:AD21),IF(AB32="50-59",LOOKUP(AB34,AF3:AF21,AD3:AD21),IF(AB32="60-69",LOOKUP(AB34,AG3:AG21,AD3:AD21),IF(AB32="70-79",LOOKUP(AB34,AH3:AH21,AD3:AD21),IF(AB32="80-89",LOOKUP(AB34,AI3:AI21,AD3:AD21),"ErroR")))))</f>
        <v>19</v>
      </c>
      <c r="AH36" t="s">
        <v>405</v>
      </c>
      <c r="AI36">
        <f>IF(AI32="40-49",LOOKUP(AI34,AL3:AL21,AK3:AK21),IF(AI32="50-59",LOOKUP(AI34,AM3:AM21,AK3:AK21),IF(AI32="60-69",LOOKUP(AI34,AN3:AN21,AK3:AK21),IF(AI32="70-79",LOOKUP(AI34,AO3:AO21,AK3:AK21),IF(AI32="80-89",LOOKUP(AI34,AP3:AP21,AK3:AK21),"ErroR")))))</f>
        <v>19</v>
      </c>
      <c r="AO36" t="s">
        <v>405</v>
      </c>
      <c r="AP36">
        <f>IF(AP32="40-49",LOOKUP(AP34,AS3:AS21,AR3:AR21),IF(AP32="50-59",LOOKUP(AP34,AT3:AT21,AR3:AR21),IF(AP32="60-69",LOOKUP(AP34,AU3:AU21,AR3:AR21),IF(AP32="70-79",LOOKUP(AP34,AV3:AV21,AR3:AR21),IF(AP32="80-89",LOOKUP(AP34,AW3:AW21,AR3:AR21),"ErroR")))))</f>
        <v>18</v>
      </c>
      <c r="AV36" t="s">
        <v>405</v>
      </c>
      <c r="AW36">
        <f>IF(AW32="40-49",LOOKUP(AW34,AZ3:AZ21,AY3:AY21),IF(AW32="50-59",LOOKUP(AW34,BA3:BA21,AY3:AY21),IF(AW32="60-69",LOOKUP(AW34,BB3:BB21,AY3:AY21),IF(AW32="70-79",LOOKUP(AW34,BC3:BC21,AY3:AY21),IF(AW32="80-89",LOOKUP(AW34,BD3:BD21,AY3:AY21),"ErroR")))))</f>
        <v>18</v>
      </c>
      <c r="BC36" t="s">
        <v>405</v>
      </c>
      <c r="BD36">
        <f>IF(BD32="40-49",LOOKUP(BD34,BG3:BG21,BF3:BF21),IF(BD32="50-59",LOOKUP(BD34,BH3:BH21,BF3:BF21),IF(BD32="60-69",LOOKUP(BD34,BI3:BI21,BF3:BF21),IF(BD32="70-79",LOOKUP(BD34,BJ3:BJ21,BF3:BF21),IF(BD32="80-89",LOOKUP(BD34,BK3:BK21,BF3:BF21),"ErroR")))))</f>
        <v>16</v>
      </c>
    </row>
    <row r="37" spans="1:56" x14ac:dyDescent="0.2">
      <c r="A37" s="53">
        <v>34</v>
      </c>
      <c r="B37">
        <v>9</v>
      </c>
      <c r="C37">
        <v>9</v>
      </c>
      <c r="D37">
        <v>9</v>
      </c>
      <c r="E37">
        <v>10</v>
      </c>
      <c r="F37">
        <v>11</v>
      </c>
      <c r="H37" s="53">
        <v>34</v>
      </c>
      <c r="I37">
        <v>8</v>
      </c>
      <c r="J37">
        <v>8</v>
      </c>
      <c r="K37">
        <v>10</v>
      </c>
      <c r="L37">
        <v>10</v>
      </c>
      <c r="M37">
        <v>12</v>
      </c>
    </row>
    <row r="38" spans="1:56" x14ac:dyDescent="0.2">
      <c r="A38" s="53">
        <v>35</v>
      </c>
      <c r="B38">
        <v>9</v>
      </c>
      <c r="C38">
        <v>9</v>
      </c>
      <c r="D38">
        <v>10</v>
      </c>
      <c r="E38">
        <v>10</v>
      </c>
      <c r="F38">
        <v>11</v>
      </c>
      <c r="H38" s="53">
        <v>35</v>
      </c>
      <c r="I38">
        <v>8</v>
      </c>
      <c r="J38">
        <v>9</v>
      </c>
      <c r="K38">
        <v>10</v>
      </c>
      <c r="L38">
        <v>11</v>
      </c>
      <c r="M38">
        <v>12</v>
      </c>
    </row>
    <row r="39" spans="1:56" x14ac:dyDescent="0.2">
      <c r="A39" s="53">
        <v>36</v>
      </c>
      <c r="B39">
        <v>9</v>
      </c>
      <c r="C39">
        <v>10</v>
      </c>
      <c r="D39">
        <v>10</v>
      </c>
      <c r="E39">
        <v>10</v>
      </c>
      <c r="F39">
        <v>11</v>
      </c>
      <c r="H39" s="53">
        <v>36</v>
      </c>
      <c r="I39">
        <v>8</v>
      </c>
      <c r="J39">
        <v>9</v>
      </c>
      <c r="K39">
        <v>10</v>
      </c>
      <c r="L39">
        <v>11</v>
      </c>
      <c r="M39">
        <v>12</v>
      </c>
    </row>
    <row r="40" spans="1:56" x14ac:dyDescent="0.2">
      <c r="A40" s="53">
        <v>37</v>
      </c>
      <c r="B40">
        <v>9</v>
      </c>
      <c r="C40">
        <v>10</v>
      </c>
      <c r="D40">
        <v>10</v>
      </c>
      <c r="E40">
        <v>11</v>
      </c>
      <c r="F40">
        <v>12</v>
      </c>
      <c r="H40" s="53">
        <v>37</v>
      </c>
      <c r="I40">
        <v>9</v>
      </c>
      <c r="J40">
        <v>10</v>
      </c>
      <c r="K40">
        <v>11</v>
      </c>
      <c r="L40">
        <v>12</v>
      </c>
      <c r="M40">
        <v>13</v>
      </c>
    </row>
    <row r="41" spans="1:56" x14ac:dyDescent="0.2">
      <c r="A41" s="53">
        <v>38</v>
      </c>
      <c r="B41">
        <v>10</v>
      </c>
      <c r="C41">
        <v>10</v>
      </c>
      <c r="D41">
        <v>11</v>
      </c>
      <c r="E41">
        <v>11</v>
      </c>
      <c r="F41">
        <v>12</v>
      </c>
      <c r="H41" s="53">
        <v>38</v>
      </c>
      <c r="I41">
        <v>9</v>
      </c>
      <c r="J41">
        <v>10</v>
      </c>
      <c r="K41">
        <v>11</v>
      </c>
      <c r="L41">
        <v>12</v>
      </c>
      <c r="M41">
        <v>13</v>
      </c>
      <c r="AA41" t="s">
        <v>406</v>
      </c>
      <c r="AB41">
        <f>LOOKUP($AB$34,AE3:AE21,AD3:AD21)</f>
        <v>19</v>
      </c>
    </row>
    <row r="42" spans="1:56" x14ac:dyDescent="0.2">
      <c r="A42" s="53">
        <v>39</v>
      </c>
      <c r="B42">
        <v>10</v>
      </c>
      <c r="C42">
        <v>11</v>
      </c>
      <c r="D42">
        <v>11</v>
      </c>
      <c r="E42">
        <v>11</v>
      </c>
      <c r="F42">
        <v>12</v>
      </c>
      <c r="H42" s="53">
        <v>39</v>
      </c>
      <c r="I42">
        <v>10</v>
      </c>
      <c r="J42">
        <v>10</v>
      </c>
      <c r="K42">
        <v>12</v>
      </c>
      <c r="L42">
        <v>12</v>
      </c>
      <c r="M42">
        <v>14</v>
      </c>
      <c r="AA42" t="s">
        <v>407</v>
      </c>
      <c r="AB42">
        <f>IF(AB32="40-49",LOOKUP($AB$34,AE3:AE21,AD3:AD21),IF(AB32="50-59",LOOKUP(AB34,AF3:AF21,AD3:AD21),IF(AB32="60-69",LOOKUP(AB34,AG3:AG21,AD3:AD21),IF(AB32="70-79",LOOKUP(AB34,AH3:AH21,AD3:AD21),IF(AB32="80-89",LOOKUP(AB34,AI3:AI21,AD3:AD21),"ErroR")))))</f>
        <v>19</v>
      </c>
    </row>
    <row r="43" spans="1:56" x14ac:dyDescent="0.2">
      <c r="A43" s="53">
        <v>40</v>
      </c>
      <c r="B43">
        <v>10</v>
      </c>
      <c r="C43">
        <v>11</v>
      </c>
      <c r="D43">
        <v>11</v>
      </c>
      <c r="E43">
        <v>12</v>
      </c>
      <c r="F43">
        <v>12</v>
      </c>
      <c r="H43" s="53">
        <v>40</v>
      </c>
      <c r="I43">
        <v>10</v>
      </c>
      <c r="J43">
        <v>11</v>
      </c>
      <c r="K43">
        <v>12</v>
      </c>
      <c r="L43">
        <v>13</v>
      </c>
      <c r="M43">
        <v>14</v>
      </c>
    </row>
    <row r="44" spans="1:56" x14ac:dyDescent="0.2">
      <c r="A44" s="53">
        <v>41</v>
      </c>
      <c r="B44">
        <v>11</v>
      </c>
      <c r="C44">
        <v>11</v>
      </c>
      <c r="D44">
        <v>12</v>
      </c>
      <c r="E44">
        <v>12</v>
      </c>
      <c r="F44">
        <v>13</v>
      </c>
      <c r="H44" s="53">
        <v>41</v>
      </c>
      <c r="I44">
        <v>10</v>
      </c>
      <c r="J44">
        <v>11</v>
      </c>
      <c r="K44">
        <v>12</v>
      </c>
      <c r="L44">
        <v>13</v>
      </c>
      <c r="M44">
        <v>14</v>
      </c>
    </row>
    <row r="45" spans="1:56" x14ac:dyDescent="0.2">
      <c r="A45" s="53">
        <v>42</v>
      </c>
      <c r="B45">
        <v>11</v>
      </c>
      <c r="C45">
        <v>12</v>
      </c>
      <c r="D45">
        <v>12</v>
      </c>
      <c r="E45">
        <v>12</v>
      </c>
      <c r="F45">
        <v>13</v>
      </c>
      <c r="H45" s="53">
        <v>42</v>
      </c>
      <c r="I45">
        <v>11</v>
      </c>
      <c r="J45">
        <v>12</v>
      </c>
      <c r="K45">
        <v>13</v>
      </c>
      <c r="L45">
        <v>14</v>
      </c>
      <c r="M45">
        <v>15</v>
      </c>
    </row>
    <row r="46" spans="1:56" x14ac:dyDescent="0.2">
      <c r="A46" s="53">
        <v>43</v>
      </c>
      <c r="B46">
        <v>11</v>
      </c>
      <c r="C46">
        <v>12</v>
      </c>
      <c r="D46">
        <v>12</v>
      </c>
      <c r="E46">
        <v>12</v>
      </c>
      <c r="F46">
        <v>13</v>
      </c>
      <c r="H46" s="53">
        <v>43</v>
      </c>
      <c r="I46">
        <v>11</v>
      </c>
      <c r="J46">
        <v>12</v>
      </c>
      <c r="K46">
        <v>13</v>
      </c>
      <c r="L46">
        <v>14</v>
      </c>
      <c r="M46">
        <v>15</v>
      </c>
    </row>
    <row r="47" spans="1:56" x14ac:dyDescent="0.2">
      <c r="A47" s="53">
        <v>44</v>
      </c>
      <c r="B47">
        <v>12</v>
      </c>
      <c r="C47">
        <v>12</v>
      </c>
      <c r="D47">
        <v>12</v>
      </c>
      <c r="E47">
        <v>13</v>
      </c>
      <c r="F47">
        <v>14</v>
      </c>
      <c r="H47" s="53">
        <v>44</v>
      </c>
      <c r="I47">
        <v>12</v>
      </c>
      <c r="J47">
        <v>12</v>
      </c>
      <c r="K47">
        <v>14</v>
      </c>
      <c r="L47">
        <v>14</v>
      </c>
      <c r="M47">
        <v>16</v>
      </c>
    </row>
    <row r="48" spans="1:56" x14ac:dyDescent="0.2">
      <c r="A48" s="53">
        <v>45</v>
      </c>
      <c r="B48">
        <v>12</v>
      </c>
      <c r="C48">
        <v>12</v>
      </c>
      <c r="D48">
        <v>13</v>
      </c>
      <c r="E48">
        <v>13</v>
      </c>
      <c r="F48">
        <v>14</v>
      </c>
      <c r="H48" s="53">
        <v>45</v>
      </c>
      <c r="I48">
        <v>12</v>
      </c>
      <c r="J48">
        <v>13</v>
      </c>
      <c r="K48">
        <v>14</v>
      </c>
      <c r="L48">
        <v>15</v>
      </c>
      <c r="M48">
        <v>16</v>
      </c>
    </row>
    <row r="49" spans="1:48" x14ac:dyDescent="0.2">
      <c r="A49" s="53">
        <v>46</v>
      </c>
      <c r="B49">
        <v>12</v>
      </c>
      <c r="C49">
        <v>13</v>
      </c>
      <c r="D49">
        <v>13</v>
      </c>
      <c r="E49">
        <v>13</v>
      </c>
      <c r="F49">
        <v>14</v>
      </c>
      <c r="H49" s="53">
        <v>46</v>
      </c>
      <c r="I49">
        <v>12</v>
      </c>
      <c r="J49">
        <v>13</v>
      </c>
      <c r="K49">
        <v>14</v>
      </c>
      <c r="L49">
        <v>15</v>
      </c>
      <c r="M49">
        <v>16</v>
      </c>
    </row>
    <row r="50" spans="1:48" x14ac:dyDescent="0.2">
      <c r="A50" s="53">
        <v>47</v>
      </c>
      <c r="B50">
        <v>12</v>
      </c>
      <c r="C50">
        <v>13</v>
      </c>
      <c r="D50">
        <v>13</v>
      </c>
      <c r="E50">
        <v>14</v>
      </c>
      <c r="F50">
        <v>15</v>
      </c>
      <c r="H50" s="53">
        <v>47</v>
      </c>
      <c r="I50">
        <v>13</v>
      </c>
      <c r="J50">
        <v>14</v>
      </c>
      <c r="K50">
        <v>15</v>
      </c>
      <c r="L50">
        <v>16</v>
      </c>
      <c r="M50">
        <v>17</v>
      </c>
    </row>
    <row r="51" spans="1:48" x14ac:dyDescent="0.2">
      <c r="A51" s="53">
        <v>48</v>
      </c>
      <c r="B51">
        <v>13</v>
      </c>
      <c r="C51">
        <v>13</v>
      </c>
      <c r="D51">
        <v>14</v>
      </c>
      <c r="E51">
        <v>14</v>
      </c>
      <c r="F51">
        <v>15</v>
      </c>
      <c r="H51" s="53">
        <v>48</v>
      </c>
      <c r="I51">
        <v>13</v>
      </c>
      <c r="J51">
        <v>14</v>
      </c>
      <c r="K51">
        <v>15</v>
      </c>
      <c r="L51">
        <v>16</v>
      </c>
      <c r="M51">
        <v>17</v>
      </c>
    </row>
    <row r="52" spans="1:48" x14ac:dyDescent="0.2">
      <c r="A52" s="53">
        <v>49</v>
      </c>
      <c r="B52">
        <v>13</v>
      </c>
      <c r="C52">
        <v>14</v>
      </c>
      <c r="D52">
        <v>14</v>
      </c>
      <c r="E52">
        <v>14</v>
      </c>
      <c r="F52">
        <v>15</v>
      </c>
      <c r="H52" s="53">
        <v>49</v>
      </c>
      <c r="I52">
        <v>14</v>
      </c>
      <c r="J52">
        <v>14</v>
      </c>
      <c r="K52">
        <v>16</v>
      </c>
      <c r="L52">
        <v>16</v>
      </c>
      <c r="M52">
        <v>18</v>
      </c>
    </row>
    <row r="53" spans="1:48" x14ac:dyDescent="0.2">
      <c r="A53" s="53">
        <v>50</v>
      </c>
      <c r="B53">
        <v>13</v>
      </c>
      <c r="C53">
        <v>14</v>
      </c>
      <c r="D53">
        <v>14</v>
      </c>
      <c r="E53">
        <v>15</v>
      </c>
      <c r="F53">
        <v>15</v>
      </c>
      <c r="H53" s="53">
        <v>50</v>
      </c>
      <c r="I53">
        <v>14</v>
      </c>
      <c r="J53">
        <v>15</v>
      </c>
      <c r="K53">
        <v>16</v>
      </c>
      <c r="L53">
        <v>17</v>
      </c>
      <c r="M53">
        <v>18</v>
      </c>
    </row>
    <row r="54" spans="1:48" x14ac:dyDescent="0.2">
      <c r="A54" s="53">
        <v>51</v>
      </c>
      <c r="B54">
        <v>14</v>
      </c>
      <c r="C54">
        <v>14</v>
      </c>
      <c r="D54">
        <v>15</v>
      </c>
      <c r="E54">
        <v>15</v>
      </c>
      <c r="F54">
        <v>16</v>
      </c>
      <c r="H54" s="53">
        <v>51</v>
      </c>
      <c r="I54">
        <v>14</v>
      </c>
      <c r="J54">
        <v>15</v>
      </c>
      <c r="K54">
        <v>16</v>
      </c>
      <c r="L54">
        <v>17</v>
      </c>
      <c r="M54">
        <v>18</v>
      </c>
    </row>
    <row r="55" spans="1:48" x14ac:dyDescent="0.2">
      <c r="A55" s="53">
        <v>52</v>
      </c>
      <c r="B55">
        <v>14</v>
      </c>
      <c r="C55">
        <v>15</v>
      </c>
      <c r="D55">
        <v>15</v>
      </c>
      <c r="E55">
        <v>15</v>
      </c>
      <c r="F55">
        <v>16</v>
      </c>
      <c r="H55" s="53">
        <v>52</v>
      </c>
      <c r="I55">
        <v>15</v>
      </c>
      <c r="J55">
        <v>16</v>
      </c>
      <c r="K55">
        <v>17</v>
      </c>
      <c r="L55">
        <v>18</v>
      </c>
      <c r="M55">
        <v>19</v>
      </c>
    </row>
    <row r="56" spans="1:48" x14ac:dyDescent="0.2">
      <c r="A56" s="53">
        <v>53</v>
      </c>
      <c r="B56">
        <v>14</v>
      </c>
      <c r="C56">
        <v>15</v>
      </c>
      <c r="D56">
        <v>15</v>
      </c>
      <c r="E56">
        <v>15</v>
      </c>
      <c r="F56">
        <v>16</v>
      </c>
      <c r="H56" s="53">
        <v>53</v>
      </c>
      <c r="I56">
        <v>15</v>
      </c>
      <c r="J56">
        <v>16</v>
      </c>
      <c r="K56">
        <v>17</v>
      </c>
      <c r="L56">
        <v>18</v>
      </c>
      <c r="M56">
        <v>19</v>
      </c>
    </row>
    <row r="57" spans="1:48" x14ac:dyDescent="0.2">
      <c r="A57" s="53">
        <v>54</v>
      </c>
      <c r="B57">
        <v>15</v>
      </c>
      <c r="C57">
        <v>15</v>
      </c>
      <c r="D57">
        <v>15</v>
      </c>
      <c r="E57">
        <v>16</v>
      </c>
      <c r="F57">
        <v>17</v>
      </c>
      <c r="H57" s="53">
        <v>54</v>
      </c>
      <c r="I57">
        <v>16</v>
      </c>
      <c r="J57">
        <v>16</v>
      </c>
      <c r="K57">
        <v>18</v>
      </c>
      <c r="L57">
        <v>18</v>
      </c>
      <c r="M57">
        <v>19</v>
      </c>
    </row>
    <row r="58" spans="1:48" x14ac:dyDescent="0.2">
      <c r="A58" s="53">
        <v>55</v>
      </c>
      <c r="B58">
        <v>15</v>
      </c>
      <c r="C58">
        <v>15</v>
      </c>
      <c r="D58">
        <v>16</v>
      </c>
      <c r="E58">
        <v>16</v>
      </c>
      <c r="F58">
        <v>17</v>
      </c>
      <c r="H58" s="53">
        <v>55</v>
      </c>
      <c r="I58">
        <v>16</v>
      </c>
      <c r="J58">
        <v>17</v>
      </c>
      <c r="K58">
        <v>18</v>
      </c>
      <c r="L58">
        <v>19</v>
      </c>
      <c r="M58">
        <v>19</v>
      </c>
    </row>
    <row r="59" spans="1:48" x14ac:dyDescent="0.2">
      <c r="A59" s="53">
        <v>56</v>
      </c>
      <c r="B59">
        <v>15</v>
      </c>
      <c r="C59">
        <v>16</v>
      </c>
      <c r="D59">
        <v>16</v>
      </c>
      <c r="E59">
        <v>16</v>
      </c>
      <c r="F59">
        <v>17</v>
      </c>
      <c r="H59" s="53">
        <v>56</v>
      </c>
      <c r="I59">
        <v>16</v>
      </c>
      <c r="J59">
        <v>17</v>
      </c>
      <c r="K59">
        <v>18</v>
      </c>
      <c r="L59">
        <v>19</v>
      </c>
      <c r="M59">
        <v>19</v>
      </c>
    </row>
    <row r="60" spans="1:48" x14ac:dyDescent="0.2">
      <c r="A60" s="53">
        <v>57</v>
      </c>
      <c r="B60">
        <v>15</v>
      </c>
      <c r="C60">
        <v>16</v>
      </c>
      <c r="D60">
        <v>16</v>
      </c>
      <c r="E60">
        <v>17</v>
      </c>
      <c r="F60">
        <v>18</v>
      </c>
      <c r="H60" s="53">
        <v>57</v>
      </c>
      <c r="I60">
        <v>17</v>
      </c>
      <c r="J60">
        <v>18</v>
      </c>
      <c r="K60">
        <v>19</v>
      </c>
      <c r="L60">
        <v>19</v>
      </c>
      <c r="M60">
        <v>19</v>
      </c>
    </row>
    <row r="61" spans="1:48" x14ac:dyDescent="0.2">
      <c r="A61" s="53">
        <v>58</v>
      </c>
      <c r="B61">
        <v>16</v>
      </c>
      <c r="C61">
        <v>16</v>
      </c>
      <c r="D61">
        <v>17</v>
      </c>
      <c r="E61">
        <v>17</v>
      </c>
      <c r="F61">
        <v>18</v>
      </c>
      <c r="H61" s="53">
        <v>58</v>
      </c>
      <c r="I61">
        <v>17</v>
      </c>
      <c r="J61">
        <v>18</v>
      </c>
      <c r="K61">
        <v>19</v>
      </c>
      <c r="L61">
        <v>19</v>
      </c>
      <c r="M61">
        <v>19</v>
      </c>
    </row>
    <row r="62" spans="1:48" x14ac:dyDescent="0.2">
      <c r="A62" s="53">
        <v>59</v>
      </c>
      <c r="B62">
        <v>16</v>
      </c>
      <c r="C62">
        <v>17</v>
      </c>
      <c r="D62">
        <v>17</v>
      </c>
      <c r="E62">
        <v>17</v>
      </c>
      <c r="F62">
        <v>18</v>
      </c>
      <c r="H62" s="53">
        <v>59</v>
      </c>
      <c r="I62">
        <v>18</v>
      </c>
      <c r="J62">
        <v>18</v>
      </c>
      <c r="K62">
        <v>19</v>
      </c>
      <c r="L62">
        <v>19</v>
      </c>
      <c r="M62">
        <v>19</v>
      </c>
    </row>
    <row r="63" spans="1:48" x14ac:dyDescent="0.2">
      <c r="A63" s="53">
        <v>60</v>
      </c>
      <c r="B63">
        <v>16</v>
      </c>
      <c r="C63">
        <v>17</v>
      </c>
      <c r="D63">
        <v>17</v>
      </c>
      <c r="E63">
        <v>18</v>
      </c>
      <c r="F63">
        <v>18</v>
      </c>
      <c r="H63" s="53">
        <v>60</v>
      </c>
      <c r="I63">
        <v>18</v>
      </c>
      <c r="J63">
        <v>19</v>
      </c>
      <c r="K63">
        <v>19</v>
      </c>
      <c r="L63">
        <v>19</v>
      </c>
      <c r="M63">
        <v>19</v>
      </c>
    </row>
    <row r="64" spans="1:48" x14ac:dyDescent="0.2">
      <c r="A64" s="53">
        <v>61</v>
      </c>
      <c r="B64">
        <v>17</v>
      </c>
      <c r="C64">
        <v>17</v>
      </c>
      <c r="D64">
        <v>18</v>
      </c>
      <c r="E64">
        <v>18</v>
      </c>
      <c r="F64">
        <v>19</v>
      </c>
      <c r="H64" s="53">
        <v>61</v>
      </c>
      <c r="I64">
        <v>18</v>
      </c>
      <c r="J64">
        <v>19</v>
      </c>
      <c r="K64">
        <v>19</v>
      </c>
      <c r="L64">
        <v>19</v>
      </c>
      <c r="M64">
        <v>19</v>
      </c>
      <c r="AO64" s="13" t="s">
        <v>411</v>
      </c>
      <c r="AP64" t="s">
        <v>412</v>
      </c>
      <c r="AQ64" t="s">
        <v>413</v>
      </c>
      <c r="AR64" t="s">
        <v>414</v>
      </c>
      <c r="AS64" t="s">
        <v>415</v>
      </c>
      <c r="AT64" t="s">
        <v>416</v>
      </c>
      <c r="AU64" t="s">
        <v>417</v>
      </c>
      <c r="AV64" t="s">
        <v>341</v>
      </c>
    </row>
    <row r="65" spans="1:41" x14ac:dyDescent="0.2">
      <c r="A65" s="53">
        <v>62</v>
      </c>
      <c r="B65">
        <v>17</v>
      </c>
      <c r="C65">
        <v>18</v>
      </c>
      <c r="D65">
        <v>18</v>
      </c>
      <c r="E65">
        <v>18</v>
      </c>
      <c r="F65">
        <v>19</v>
      </c>
      <c r="H65" s="53">
        <v>62</v>
      </c>
      <c r="I65">
        <v>19</v>
      </c>
      <c r="J65">
        <v>19</v>
      </c>
      <c r="K65">
        <v>19</v>
      </c>
      <c r="L65">
        <v>19</v>
      </c>
      <c r="M65">
        <v>19</v>
      </c>
      <c r="AO65" s="13">
        <v>1</v>
      </c>
    </row>
    <row r="66" spans="1:41" x14ac:dyDescent="0.2">
      <c r="A66" s="53">
        <v>63</v>
      </c>
      <c r="B66">
        <v>17</v>
      </c>
      <c r="C66">
        <v>18</v>
      </c>
      <c r="D66">
        <v>18</v>
      </c>
      <c r="E66">
        <v>18</v>
      </c>
      <c r="F66">
        <v>19</v>
      </c>
      <c r="H66" s="53">
        <v>63</v>
      </c>
      <c r="I66">
        <v>19</v>
      </c>
      <c r="J66">
        <v>19</v>
      </c>
      <c r="K66">
        <v>19</v>
      </c>
      <c r="L66">
        <v>19</v>
      </c>
      <c r="M66">
        <v>19</v>
      </c>
      <c r="AO66" s="13">
        <v>2</v>
      </c>
    </row>
    <row r="67" spans="1:41" x14ac:dyDescent="0.2">
      <c r="A67" s="53">
        <v>64</v>
      </c>
      <c r="B67">
        <v>18</v>
      </c>
      <c r="C67">
        <v>18</v>
      </c>
      <c r="D67">
        <v>18</v>
      </c>
      <c r="E67">
        <v>19</v>
      </c>
      <c r="F67">
        <v>19</v>
      </c>
      <c r="H67" s="53">
        <v>64</v>
      </c>
      <c r="I67">
        <v>19</v>
      </c>
      <c r="J67">
        <v>19</v>
      </c>
      <c r="K67">
        <v>19</v>
      </c>
      <c r="L67">
        <v>19</v>
      </c>
      <c r="M67">
        <v>19</v>
      </c>
      <c r="AO67" s="13">
        <v>3</v>
      </c>
    </row>
    <row r="68" spans="1:41" x14ac:dyDescent="0.2">
      <c r="A68" s="53">
        <v>65</v>
      </c>
      <c r="B68">
        <v>18</v>
      </c>
      <c r="C68">
        <v>18</v>
      </c>
      <c r="D68">
        <v>19</v>
      </c>
      <c r="E68">
        <v>19</v>
      </c>
      <c r="F68">
        <v>19</v>
      </c>
      <c r="H68" s="53">
        <v>65</v>
      </c>
      <c r="I68">
        <v>19</v>
      </c>
      <c r="J68">
        <v>19</v>
      </c>
      <c r="K68">
        <v>19</v>
      </c>
      <c r="L68">
        <v>19</v>
      </c>
      <c r="M68">
        <v>19</v>
      </c>
      <c r="AO68" s="13">
        <v>4</v>
      </c>
    </row>
    <row r="69" spans="1:41" x14ac:dyDescent="0.2">
      <c r="A69" s="53">
        <v>66</v>
      </c>
      <c r="B69">
        <v>18</v>
      </c>
      <c r="C69">
        <v>19</v>
      </c>
      <c r="D69">
        <v>19</v>
      </c>
      <c r="E69">
        <v>19</v>
      </c>
      <c r="F69">
        <v>19</v>
      </c>
      <c r="H69" s="53">
        <v>66</v>
      </c>
      <c r="I69">
        <v>19</v>
      </c>
      <c r="J69">
        <v>19</v>
      </c>
      <c r="K69">
        <v>19</v>
      </c>
      <c r="L69">
        <v>19</v>
      </c>
      <c r="M69">
        <v>19</v>
      </c>
      <c r="AO69" s="13">
        <v>5</v>
      </c>
    </row>
    <row r="70" spans="1:41" x14ac:dyDescent="0.2">
      <c r="A70" s="53">
        <v>67</v>
      </c>
      <c r="B70">
        <v>18</v>
      </c>
      <c r="C70">
        <v>19</v>
      </c>
      <c r="D70">
        <v>19</v>
      </c>
      <c r="E70">
        <v>19</v>
      </c>
      <c r="F70">
        <v>19</v>
      </c>
      <c r="H70" s="53">
        <v>67</v>
      </c>
      <c r="I70">
        <v>19</v>
      </c>
      <c r="J70">
        <v>19</v>
      </c>
      <c r="K70">
        <v>19</v>
      </c>
      <c r="L70">
        <v>19</v>
      </c>
      <c r="M70">
        <v>19</v>
      </c>
      <c r="AO70" s="13">
        <v>6</v>
      </c>
    </row>
    <row r="71" spans="1:41" x14ac:dyDescent="0.2">
      <c r="A71" s="53">
        <v>68</v>
      </c>
      <c r="B71">
        <v>19</v>
      </c>
      <c r="C71">
        <v>19</v>
      </c>
      <c r="D71">
        <v>19</v>
      </c>
      <c r="E71">
        <v>19</v>
      </c>
      <c r="F71">
        <v>19</v>
      </c>
      <c r="H71" s="53">
        <v>68</v>
      </c>
      <c r="I71">
        <v>19</v>
      </c>
      <c r="J71">
        <v>19</v>
      </c>
      <c r="K71">
        <v>19</v>
      </c>
      <c r="L71">
        <v>19</v>
      </c>
      <c r="M71">
        <v>19</v>
      </c>
      <c r="AO71" s="13">
        <v>7</v>
      </c>
    </row>
    <row r="72" spans="1:41" x14ac:dyDescent="0.2">
      <c r="A72" s="53">
        <v>69</v>
      </c>
      <c r="B72">
        <v>19</v>
      </c>
      <c r="C72">
        <v>19</v>
      </c>
      <c r="D72">
        <v>19</v>
      </c>
      <c r="E72">
        <v>19</v>
      </c>
      <c r="F72">
        <v>19</v>
      </c>
      <c r="H72" s="53">
        <v>69</v>
      </c>
      <c r="I72">
        <v>19</v>
      </c>
      <c r="J72">
        <v>19</v>
      </c>
      <c r="K72">
        <v>19</v>
      </c>
      <c r="L72">
        <v>19</v>
      </c>
      <c r="M72">
        <v>19</v>
      </c>
      <c r="AO72" s="13">
        <v>8</v>
      </c>
    </row>
    <row r="73" spans="1:41" x14ac:dyDescent="0.2">
      <c r="A73" s="53">
        <v>70</v>
      </c>
      <c r="B73">
        <v>19</v>
      </c>
      <c r="C73">
        <v>19</v>
      </c>
      <c r="D73">
        <v>19</v>
      </c>
      <c r="E73">
        <v>19</v>
      </c>
      <c r="F73">
        <v>19</v>
      </c>
      <c r="H73" s="53">
        <v>70</v>
      </c>
      <c r="I73">
        <v>19</v>
      </c>
      <c r="J73">
        <v>19</v>
      </c>
      <c r="K73">
        <v>19</v>
      </c>
      <c r="L73">
        <v>19</v>
      </c>
      <c r="M73">
        <v>19</v>
      </c>
      <c r="AO73" s="13">
        <v>9</v>
      </c>
    </row>
    <row r="74" spans="1:41" x14ac:dyDescent="0.2">
      <c r="A74" s="53">
        <v>71</v>
      </c>
      <c r="B74">
        <v>19</v>
      </c>
      <c r="C74">
        <v>19</v>
      </c>
      <c r="D74">
        <v>19</v>
      </c>
      <c r="E74">
        <v>19</v>
      </c>
      <c r="F74">
        <v>19</v>
      </c>
      <c r="H74" s="53">
        <v>71</v>
      </c>
      <c r="I74">
        <v>19</v>
      </c>
      <c r="J74">
        <v>19</v>
      </c>
      <c r="K74">
        <v>19</v>
      </c>
      <c r="L74">
        <v>19</v>
      </c>
      <c r="M74">
        <v>19</v>
      </c>
      <c r="AO74" s="13">
        <v>10</v>
      </c>
    </row>
    <row r="75" spans="1:41" x14ac:dyDescent="0.2">
      <c r="A75" s="53">
        <v>72</v>
      </c>
      <c r="B75">
        <v>19</v>
      </c>
      <c r="C75">
        <v>19</v>
      </c>
      <c r="D75">
        <v>19</v>
      </c>
      <c r="E75">
        <v>19</v>
      </c>
      <c r="F75">
        <v>19</v>
      </c>
      <c r="H75" s="53">
        <v>72</v>
      </c>
      <c r="I75">
        <v>19</v>
      </c>
      <c r="J75">
        <v>19</v>
      </c>
      <c r="K75">
        <v>19</v>
      </c>
      <c r="L75">
        <v>19</v>
      </c>
      <c r="M75">
        <v>19</v>
      </c>
      <c r="AO75" s="13">
        <v>11</v>
      </c>
    </row>
    <row r="76" spans="1:41" x14ac:dyDescent="0.2">
      <c r="A76" s="53">
        <v>73</v>
      </c>
      <c r="B76">
        <v>19</v>
      </c>
      <c r="C76">
        <v>19</v>
      </c>
      <c r="D76">
        <v>19</v>
      </c>
      <c r="E76">
        <v>19</v>
      </c>
      <c r="F76">
        <v>19</v>
      </c>
      <c r="H76" s="53">
        <v>73</v>
      </c>
      <c r="I76">
        <v>19</v>
      </c>
      <c r="J76">
        <v>19</v>
      </c>
      <c r="K76">
        <v>19</v>
      </c>
      <c r="L76">
        <v>19</v>
      </c>
      <c r="M76">
        <v>19</v>
      </c>
      <c r="AO76" s="13">
        <v>12</v>
      </c>
    </row>
    <row r="77" spans="1:41" x14ac:dyDescent="0.2">
      <c r="A77" s="53">
        <v>74</v>
      </c>
      <c r="B77">
        <v>19</v>
      </c>
      <c r="C77">
        <v>19</v>
      </c>
      <c r="D77">
        <v>19</v>
      </c>
      <c r="E77">
        <v>19</v>
      </c>
      <c r="F77">
        <v>19</v>
      </c>
      <c r="H77" s="53">
        <v>74</v>
      </c>
      <c r="I77">
        <v>19</v>
      </c>
      <c r="J77">
        <v>19</v>
      </c>
      <c r="K77">
        <v>19</v>
      </c>
      <c r="L77">
        <v>19</v>
      </c>
      <c r="M77">
        <v>19</v>
      </c>
      <c r="AO77" s="13">
        <v>13</v>
      </c>
    </row>
    <row r="78" spans="1:41" x14ac:dyDescent="0.2">
      <c r="A78" s="53">
        <v>75</v>
      </c>
      <c r="B78">
        <v>19</v>
      </c>
      <c r="C78">
        <v>19</v>
      </c>
      <c r="D78">
        <v>19</v>
      </c>
      <c r="E78">
        <v>19</v>
      </c>
      <c r="F78">
        <v>19</v>
      </c>
      <c r="H78" s="53">
        <v>75</v>
      </c>
      <c r="I78">
        <v>19</v>
      </c>
      <c r="J78">
        <v>19</v>
      </c>
      <c r="K78">
        <v>19</v>
      </c>
      <c r="L78">
        <v>19</v>
      </c>
      <c r="M78">
        <v>19</v>
      </c>
      <c r="AO78" s="13">
        <v>14</v>
      </c>
    </row>
    <row r="79" spans="1:41" x14ac:dyDescent="0.2">
      <c r="AO79" s="13">
        <v>15</v>
      </c>
    </row>
    <row r="80" spans="1:41" x14ac:dyDescent="0.2">
      <c r="AO80" s="13">
        <v>16</v>
      </c>
    </row>
    <row r="81" spans="1:83" x14ac:dyDescent="0.2">
      <c r="AO81" s="13">
        <v>17</v>
      </c>
    </row>
    <row r="82" spans="1:83" x14ac:dyDescent="0.2">
      <c r="AO82" s="13">
        <v>18</v>
      </c>
    </row>
    <row r="83" spans="1:83" x14ac:dyDescent="0.2">
      <c r="AO83" s="13">
        <v>19</v>
      </c>
    </row>
    <row r="84" spans="1:83" x14ac:dyDescent="0.2">
      <c r="A84" s="13" t="s">
        <v>160</v>
      </c>
      <c r="C84" s="592" t="s">
        <v>591</v>
      </c>
      <c r="D84" s="592"/>
    </row>
    <row r="87" spans="1:83" x14ac:dyDescent="0.2">
      <c r="B87" s="13" t="s">
        <v>263</v>
      </c>
      <c r="C87" s="13" t="s">
        <v>264</v>
      </c>
      <c r="D87" s="13" t="s">
        <v>265</v>
      </c>
      <c r="E87" s="13" t="s">
        <v>266</v>
      </c>
      <c r="F87" s="13" t="s">
        <v>267</v>
      </c>
      <c r="G87" s="13"/>
      <c r="H87" s="13"/>
      <c r="I87" s="13" t="s">
        <v>263</v>
      </c>
      <c r="J87" s="13" t="s">
        <v>264</v>
      </c>
      <c r="K87" s="13" t="s">
        <v>265</v>
      </c>
      <c r="L87" s="13" t="s">
        <v>266</v>
      </c>
      <c r="M87" s="13" t="s">
        <v>267</v>
      </c>
      <c r="N87" s="13"/>
      <c r="O87" s="13"/>
      <c r="P87" s="13" t="s">
        <v>263</v>
      </c>
      <c r="Q87" s="13" t="s">
        <v>264</v>
      </c>
      <c r="R87" s="13" t="s">
        <v>265</v>
      </c>
      <c r="S87" s="13" t="s">
        <v>266</v>
      </c>
      <c r="T87" s="13" t="s">
        <v>267</v>
      </c>
      <c r="U87" s="13"/>
      <c r="V87" s="13"/>
      <c r="W87" s="13" t="s">
        <v>263</v>
      </c>
      <c r="X87" s="13" t="s">
        <v>264</v>
      </c>
      <c r="Y87" s="13" t="s">
        <v>265</v>
      </c>
      <c r="Z87" s="13" t="s">
        <v>266</v>
      </c>
      <c r="AA87" s="13" t="s">
        <v>267</v>
      </c>
      <c r="AB87" s="13"/>
      <c r="AC87" s="13"/>
      <c r="AD87" s="13" t="s">
        <v>263</v>
      </c>
      <c r="AE87" s="13" t="s">
        <v>264</v>
      </c>
      <c r="AF87" s="13" t="s">
        <v>265</v>
      </c>
      <c r="AG87" s="13" t="s">
        <v>266</v>
      </c>
      <c r="AH87" s="13" t="s">
        <v>267</v>
      </c>
      <c r="AI87" s="13"/>
      <c r="AJ87" s="13"/>
      <c r="AK87" s="13" t="s">
        <v>263</v>
      </c>
      <c r="AL87" s="13" t="s">
        <v>264</v>
      </c>
      <c r="AM87" s="13" t="s">
        <v>265</v>
      </c>
      <c r="AN87" s="13" t="s">
        <v>266</v>
      </c>
      <c r="AO87" s="13" t="s">
        <v>267</v>
      </c>
      <c r="AP87" s="13"/>
      <c r="AQ87" s="13"/>
      <c r="AR87" s="13" t="s">
        <v>263</v>
      </c>
      <c r="AS87" s="13" t="s">
        <v>264</v>
      </c>
      <c r="AT87" s="13" t="s">
        <v>265</v>
      </c>
      <c r="AU87" s="13" t="s">
        <v>266</v>
      </c>
      <c r="AV87" s="13" t="s">
        <v>267</v>
      </c>
      <c r="AW87" s="13"/>
      <c r="AX87" s="13"/>
      <c r="AY87" s="13" t="s">
        <v>263</v>
      </c>
      <c r="AZ87" s="13" t="s">
        <v>264</v>
      </c>
      <c r="BA87" s="13" t="s">
        <v>265</v>
      </c>
      <c r="BB87" s="13" t="s">
        <v>266</v>
      </c>
      <c r="BC87" s="13" t="s">
        <v>267</v>
      </c>
      <c r="BF87" s="13" t="s">
        <v>263</v>
      </c>
      <c r="BG87" s="13" t="s">
        <v>264</v>
      </c>
      <c r="BH87" s="13" t="s">
        <v>265</v>
      </c>
      <c r="BI87" s="13" t="s">
        <v>266</v>
      </c>
      <c r="BJ87" s="13" t="s">
        <v>267</v>
      </c>
      <c r="BM87" s="13" t="s">
        <v>263</v>
      </c>
      <c r="BN87" s="13" t="s">
        <v>264</v>
      </c>
      <c r="BO87" s="13" t="s">
        <v>265</v>
      </c>
      <c r="BP87" s="13" t="s">
        <v>266</v>
      </c>
      <c r="BQ87" s="13" t="s">
        <v>267</v>
      </c>
      <c r="BT87" s="13" t="s">
        <v>263</v>
      </c>
      <c r="BU87" s="13" t="s">
        <v>264</v>
      </c>
      <c r="BV87" s="13" t="s">
        <v>265</v>
      </c>
      <c r="BW87" s="13" t="s">
        <v>266</v>
      </c>
      <c r="BX87" s="13" t="s">
        <v>267</v>
      </c>
      <c r="CA87" s="13" t="s">
        <v>263</v>
      </c>
      <c r="CB87" s="13" t="s">
        <v>264</v>
      </c>
      <c r="CC87" s="13" t="s">
        <v>265</v>
      </c>
      <c r="CD87" s="13" t="s">
        <v>266</v>
      </c>
      <c r="CE87" s="13" t="s">
        <v>267</v>
      </c>
    </row>
    <row r="88" spans="1:83" x14ac:dyDescent="0.2">
      <c r="A88" s="53" t="s">
        <v>411</v>
      </c>
      <c r="B88" s="13" t="s">
        <v>412</v>
      </c>
      <c r="C88" s="591" t="s">
        <v>412</v>
      </c>
      <c r="D88" s="591" t="s">
        <v>412</v>
      </c>
      <c r="E88" s="591" t="s">
        <v>412</v>
      </c>
      <c r="F88" s="591" t="s">
        <v>412</v>
      </c>
      <c r="G88" s="13"/>
      <c r="H88" s="53" t="s">
        <v>411</v>
      </c>
      <c r="I88" s="13" t="s">
        <v>413</v>
      </c>
      <c r="J88" s="591" t="s">
        <v>413</v>
      </c>
      <c r="K88" s="591" t="s">
        <v>413</v>
      </c>
      <c r="L88" s="591" t="s">
        <v>413</v>
      </c>
      <c r="M88" s="591" t="s">
        <v>413</v>
      </c>
      <c r="N88" s="13"/>
      <c r="O88" s="53" t="s">
        <v>411</v>
      </c>
      <c r="P88" s="13" t="s">
        <v>414</v>
      </c>
      <c r="Q88" s="591" t="s">
        <v>414</v>
      </c>
      <c r="R88" s="591" t="s">
        <v>414</v>
      </c>
      <c r="S88" s="591" t="s">
        <v>414</v>
      </c>
      <c r="T88" s="591" t="s">
        <v>414</v>
      </c>
      <c r="U88" s="13"/>
      <c r="V88" s="53" t="s">
        <v>411</v>
      </c>
      <c r="W88" s="13" t="s">
        <v>415</v>
      </c>
      <c r="X88" s="591" t="s">
        <v>415</v>
      </c>
      <c r="Y88" s="591" t="s">
        <v>415</v>
      </c>
      <c r="Z88" s="591" t="s">
        <v>415</v>
      </c>
      <c r="AA88" s="591" t="s">
        <v>415</v>
      </c>
      <c r="AB88" s="13"/>
      <c r="AC88" s="53" t="s">
        <v>411</v>
      </c>
      <c r="AD88" s="13" t="s">
        <v>416</v>
      </c>
      <c r="AE88" s="591" t="s">
        <v>416</v>
      </c>
      <c r="AF88" s="591" t="s">
        <v>416</v>
      </c>
      <c r="AG88" s="591" t="s">
        <v>416</v>
      </c>
      <c r="AH88" s="591" t="s">
        <v>416</v>
      </c>
      <c r="AI88" s="13"/>
      <c r="AJ88" s="53" t="s">
        <v>411</v>
      </c>
      <c r="AK88" s="13" t="s">
        <v>417</v>
      </c>
      <c r="AL88" s="591" t="s">
        <v>417</v>
      </c>
      <c r="AM88" s="591" t="s">
        <v>417</v>
      </c>
      <c r="AN88" s="591" t="s">
        <v>417</v>
      </c>
      <c r="AO88" s="591" t="s">
        <v>417</v>
      </c>
      <c r="AP88" s="13"/>
      <c r="AQ88" s="13" t="s">
        <v>411</v>
      </c>
      <c r="AR88" s="13" t="s">
        <v>418</v>
      </c>
      <c r="AS88" s="591" t="s">
        <v>418</v>
      </c>
      <c r="AT88" s="591" t="s">
        <v>418</v>
      </c>
      <c r="AU88" s="591" t="s">
        <v>418</v>
      </c>
      <c r="AV88" s="591" t="s">
        <v>418</v>
      </c>
      <c r="AW88" s="13"/>
      <c r="AX88" s="13" t="s">
        <v>411</v>
      </c>
      <c r="AY88" s="13" t="s">
        <v>341</v>
      </c>
      <c r="AZ88" s="591" t="s">
        <v>341</v>
      </c>
      <c r="BA88" s="591" t="s">
        <v>341</v>
      </c>
      <c r="BB88" s="591" t="s">
        <v>341</v>
      </c>
      <c r="BC88" s="591" t="s">
        <v>341</v>
      </c>
      <c r="BE88" s="13" t="s">
        <v>125</v>
      </c>
      <c r="BF88" s="13" t="s">
        <v>419</v>
      </c>
      <c r="BG88" s="591" t="s">
        <v>419</v>
      </c>
      <c r="BH88" s="591" t="s">
        <v>419</v>
      </c>
      <c r="BI88" s="591" t="s">
        <v>419</v>
      </c>
      <c r="BJ88" s="591" t="s">
        <v>419</v>
      </c>
      <c r="BL88" s="13" t="s">
        <v>125</v>
      </c>
      <c r="BM88" s="13" t="s">
        <v>420</v>
      </c>
      <c r="BN88" s="591" t="s">
        <v>420</v>
      </c>
      <c r="BO88" s="591" t="s">
        <v>420</v>
      </c>
      <c r="BP88" s="591" t="s">
        <v>420</v>
      </c>
      <c r="BQ88" s="591" t="s">
        <v>420</v>
      </c>
      <c r="BS88" s="13" t="s">
        <v>125</v>
      </c>
      <c r="BT88" s="13" t="s">
        <v>421</v>
      </c>
      <c r="BU88" s="591" t="s">
        <v>421</v>
      </c>
      <c r="BV88" s="591" t="s">
        <v>421</v>
      </c>
      <c r="BW88" s="591" t="s">
        <v>421</v>
      </c>
      <c r="BX88" s="591" t="s">
        <v>421</v>
      </c>
      <c r="BZ88" s="13" t="s">
        <v>125</v>
      </c>
      <c r="CA88" s="13" t="s">
        <v>422</v>
      </c>
      <c r="CB88" s="591" t="s">
        <v>422</v>
      </c>
      <c r="CC88" s="591" t="s">
        <v>422</v>
      </c>
      <c r="CD88" s="591" t="s">
        <v>422</v>
      </c>
      <c r="CE88" s="591" t="s">
        <v>422</v>
      </c>
    </row>
    <row r="89" spans="1:83" ht="17" x14ac:dyDescent="0.2">
      <c r="A89" s="53">
        <v>1</v>
      </c>
      <c r="B89" s="13"/>
      <c r="C89" s="13">
        <v>0</v>
      </c>
      <c r="D89" s="13">
        <v>0</v>
      </c>
      <c r="E89" s="13">
        <v>0</v>
      </c>
      <c r="F89" s="13">
        <v>0</v>
      </c>
      <c r="G89" s="13"/>
      <c r="H89" s="53">
        <v>1</v>
      </c>
      <c r="I89" s="13"/>
      <c r="J89" s="13">
        <v>0</v>
      </c>
      <c r="K89" s="13">
        <v>0</v>
      </c>
      <c r="L89" s="13">
        <v>0</v>
      </c>
      <c r="M89" s="13">
        <v>0</v>
      </c>
      <c r="N89" s="13"/>
      <c r="O89" s="53">
        <v>1</v>
      </c>
      <c r="P89" s="13"/>
      <c r="Q89" s="13">
        <v>0</v>
      </c>
      <c r="R89" s="13">
        <v>0</v>
      </c>
      <c r="S89" s="13">
        <v>0</v>
      </c>
      <c r="T89" s="13">
        <v>0</v>
      </c>
      <c r="U89" s="13"/>
      <c r="V89" s="53">
        <v>1</v>
      </c>
      <c r="W89" s="13"/>
      <c r="X89" s="13">
        <v>0</v>
      </c>
      <c r="Y89" s="13">
        <v>0</v>
      </c>
      <c r="Z89" s="13">
        <v>0</v>
      </c>
      <c r="AA89" s="13">
        <v>0</v>
      </c>
      <c r="AB89" s="13"/>
      <c r="AC89" s="53">
        <v>1</v>
      </c>
      <c r="AD89" s="13"/>
      <c r="AE89" s="13">
        <v>0</v>
      </c>
      <c r="AF89" s="13">
        <v>0</v>
      </c>
      <c r="AG89" s="13">
        <v>0</v>
      </c>
      <c r="AH89" s="13">
        <v>0</v>
      </c>
      <c r="AI89" s="13"/>
      <c r="AJ89" s="53">
        <v>1</v>
      </c>
      <c r="AK89" s="13"/>
      <c r="AL89" s="13">
        <v>0</v>
      </c>
      <c r="AM89" s="13">
        <v>0</v>
      </c>
      <c r="AN89" s="13">
        <v>0</v>
      </c>
      <c r="AO89" s="13">
        <v>0</v>
      </c>
      <c r="AP89" s="13"/>
      <c r="AQ89" s="53">
        <v>1</v>
      </c>
      <c r="AR89" s="13"/>
      <c r="AS89" s="13">
        <v>0</v>
      </c>
      <c r="AT89" s="13">
        <v>0</v>
      </c>
      <c r="AU89" s="13">
        <v>0</v>
      </c>
      <c r="AV89" s="13"/>
      <c r="AW89" s="13"/>
      <c r="AX89" s="53">
        <v>1</v>
      </c>
      <c r="AY89" s="13"/>
      <c r="AZ89" s="13">
        <v>0</v>
      </c>
      <c r="BA89" s="13">
        <v>0</v>
      </c>
      <c r="BB89" s="13">
        <v>0</v>
      </c>
      <c r="BC89" s="13">
        <v>0</v>
      </c>
      <c r="BE89" s="346" t="s">
        <v>397</v>
      </c>
      <c r="BF89" s="13"/>
      <c r="BG89" s="13">
        <v>0</v>
      </c>
      <c r="BH89" s="13">
        <v>0</v>
      </c>
      <c r="BI89" s="13">
        <v>0</v>
      </c>
      <c r="BJ89" s="13">
        <v>0</v>
      </c>
      <c r="BL89" s="346" t="s">
        <v>397</v>
      </c>
      <c r="BM89" s="13"/>
      <c r="BN89" s="13">
        <v>0</v>
      </c>
      <c r="BO89" s="13">
        <v>0</v>
      </c>
      <c r="BP89" s="13">
        <v>0</v>
      </c>
      <c r="BQ89" s="13">
        <v>0</v>
      </c>
      <c r="BS89" s="346" t="s">
        <v>397</v>
      </c>
      <c r="BT89" s="13"/>
      <c r="BU89" s="13">
        <v>0</v>
      </c>
      <c r="BV89" s="13"/>
      <c r="BW89" s="13"/>
      <c r="BX89" s="13"/>
      <c r="BZ89" s="346" t="s">
        <v>397</v>
      </c>
      <c r="CA89" s="13"/>
      <c r="CB89" s="13">
        <v>0</v>
      </c>
      <c r="CC89" s="13">
        <v>0</v>
      </c>
      <c r="CD89" s="13">
        <v>0</v>
      </c>
      <c r="CE89" s="13">
        <v>0</v>
      </c>
    </row>
    <row r="90" spans="1:83" ht="17" x14ac:dyDescent="0.2">
      <c r="A90" s="53">
        <v>2</v>
      </c>
      <c r="B90" s="13"/>
      <c r="C90" s="13">
        <v>12</v>
      </c>
      <c r="D90" s="13">
        <v>11</v>
      </c>
      <c r="E90" s="13">
        <v>9</v>
      </c>
      <c r="F90" s="13">
        <v>9</v>
      </c>
      <c r="G90" s="13"/>
      <c r="H90" s="53">
        <v>2</v>
      </c>
      <c r="I90" s="13"/>
      <c r="J90" s="13">
        <v>5</v>
      </c>
      <c r="K90" s="13">
        <v>5</v>
      </c>
      <c r="L90" s="13">
        <v>4</v>
      </c>
      <c r="M90" s="13">
        <v>2</v>
      </c>
      <c r="N90" s="13"/>
      <c r="O90" s="53">
        <v>2</v>
      </c>
      <c r="P90" s="13"/>
      <c r="Q90" s="13">
        <v>12</v>
      </c>
      <c r="R90" s="13">
        <v>11</v>
      </c>
      <c r="S90" s="13">
        <v>11</v>
      </c>
      <c r="T90" s="13">
        <v>10</v>
      </c>
      <c r="U90" s="13"/>
      <c r="V90" s="53">
        <v>2</v>
      </c>
      <c r="W90" s="13"/>
      <c r="X90" s="13">
        <v>7</v>
      </c>
      <c r="Y90" s="13">
        <v>6</v>
      </c>
      <c r="Z90" s="13">
        <v>6</v>
      </c>
      <c r="AA90" s="13">
        <v>5</v>
      </c>
      <c r="AB90" s="13"/>
      <c r="AC90" s="53">
        <v>2</v>
      </c>
      <c r="AD90" s="13"/>
      <c r="AE90" s="13">
        <v>4</v>
      </c>
      <c r="AF90" s="13">
        <v>4</v>
      </c>
      <c r="AG90" s="13">
        <v>3</v>
      </c>
      <c r="AH90" s="13">
        <v>3</v>
      </c>
      <c r="AI90" s="13"/>
      <c r="AJ90" s="53">
        <v>2</v>
      </c>
      <c r="AK90" s="13"/>
      <c r="AL90" s="13">
        <v>12</v>
      </c>
      <c r="AM90" s="13">
        <v>11</v>
      </c>
      <c r="AN90" s="13">
        <v>11</v>
      </c>
      <c r="AO90" s="13">
        <v>10</v>
      </c>
      <c r="AP90" s="13"/>
      <c r="AQ90" s="53">
        <v>2</v>
      </c>
      <c r="AR90" s="13"/>
      <c r="AS90" s="13">
        <v>2</v>
      </c>
      <c r="AT90" s="13">
        <v>1</v>
      </c>
      <c r="AU90" s="13">
        <v>1</v>
      </c>
      <c r="AV90" s="13">
        <v>0</v>
      </c>
      <c r="AW90" s="13"/>
      <c r="AX90" s="53">
        <v>2</v>
      </c>
      <c r="AY90" s="13"/>
      <c r="AZ90" s="13">
        <v>3</v>
      </c>
      <c r="BA90" s="13">
        <v>2</v>
      </c>
      <c r="BB90" s="13">
        <v>1</v>
      </c>
      <c r="BC90" s="13">
        <v>1</v>
      </c>
      <c r="BE90" s="346" t="s">
        <v>397</v>
      </c>
      <c r="BG90">
        <v>0</v>
      </c>
      <c r="BH90">
        <v>9</v>
      </c>
      <c r="BI90">
        <v>9</v>
      </c>
      <c r="BJ90">
        <v>9</v>
      </c>
      <c r="BL90" s="346" t="s">
        <v>397</v>
      </c>
      <c r="BN90">
        <v>7</v>
      </c>
      <c r="BO90">
        <v>7</v>
      </c>
      <c r="BP90">
        <v>7</v>
      </c>
      <c r="BQ90">
        <v>7</v>
      </c>
      <c r="BS90" s="346" t="s">
        <v>397</v>
      </c>
      <c r="BU90">
        <v>1</v>
      </c>
      <c r="BV90">
        <v>0</v>
      </c>
      <c r="BW90">
        <v>0</v>
      </c>
      <c r="BZ90" s="346" t="s">
        <v>397</v>
      </c>
      <c r="CB90">
        <v>17</v>
      </c>
      <c r="CC90">
        <v>16</v>
      </c>
      <c r="CD90">
        <v>16</v>
      </c>
      <c r="CE90">
        <v>15</v>
      </c>
    </row>
    <row r="91" spans="1:83" ht="17" x14ac:dyDescent="0.2">
      <c r="A91" s="53">
        <v>3</v>
      </c>
      <c r="B91" s="13"/>
      <c r="C91" s="13">
        <v>16</v>
      </c>
      <c r="D91" s="13">
        <v>15</v>
      </c>
      <c r="E91" s="13">
        <v>14</v>
      </c>
      <c r="F91" s="13">
        <v>13</v>
      </c>
      <c r="G91" s="13"/>
      <c r="H91" s="53">
        <v>3</v>
      </c>
      <c r="I91" s="13"/>
      <c r="J91" s="13">
        <v>8</v>
      </c>
      <c r="K91" s="13">
        <v>8</v>
      </c>
      <c r="L91" s="13">
        <v>5</v>
      </c>
      <c r="M91" s="13">
        <v>4</v>
      </c>
      <c r="N91" s="13"/>
      <c r="O91" s="53">
        <v>3</v>
      </c>
      <c r="P91" s="13"/>
      <c r="Q91" s="13">
        <v>13</v>
      </c>
      <c r="R91" s="13">
        <v>13</v>
      </c>
      <c r="S91" s="13">
        <v>12</v>
      </c>
      <c r="T91" s="13">
        <v>12</v>
      </c>
      <c r="U91" s="13"/>
      <c r="V91" s="53">
        <v>3</v>
      </c>
      <c r="W91" s="13"/>
      <c r="X91" s="13">
        <v>9</v>
      </c>
      <c r="Y91" s="13">
        <v>9</v>
      </c>
      <c r="Z91" s="13">
        <v>8</v>
      </c>
      <c r="AA91" s="13">
        <v>8</v>
      </c>
      <c r="AB91" s="13"/>
      <c r="AC91" s="53">
        <v>3</v>
      </c>
      <c r="AD91" s="13"/>
      <c r="AE91" s="13">
        <v>5</v>
      </c>
      <c r="AF91" s="13">
        <v>5</v>
      </c>
      <c r="AG91" s="13">
        <v>4</v>
      </c>
      <c r="AH91" s="13">
        <v>4</v>
      </c>
      <c r="AI91" s="13"/>
      <c r="AJ91" s="53">
        <v>3</v>
      </c>
      <c r="AK91" s="13"/>
      <c r="AL91" s="13">
        <v>19</v>
      </c>
      <c r="AM91" s="13">
        <v>18</v>
      </c>
      <c r="AN91" s="13">
        <v>17</v>
      </c>
      <c r="AO91" s="13">
        <v>16</v>
      </c>
      <c r="AP91" s="13"/>
      <c r="AQ91" s="53">
        <v>3</v>
      </c>
      <c r="AR91" s="13"/>
      <c r="AS91" s="13">
        <v>3</v>
      </c>
      <c r="AT91" s="13">
        <v>2</v>
      </c>
      <c r="AU91" s="13">
        <v>2</v>
      </c>
      <c r="AV91" s="13">
        <v>1</v>
      </c>
      <c r="AW91" s="13"/>
      <c r="AX91" s="53">
        <v>3</v>
      </c>
      <c r="AY91" s="13"/>
      <c r="AZ91" s="13">
        <v>4</v>
      </c>
      <c r="BA91" s="13">
        <v>3</v>
      </c>
      <c r="BB91" s="13">
        <v>2</v>
      </c>
      <c r="BC91" s="13">
        <v>2</v>
      </c>
      <c r="BE91" t="s">
        <v>396</v>
      </c>
      <c r="BG91">
        <v>10</v>
      </c>
      <c r="BH91">
        <v>10</v>
      </c>
      <c r="BI91">
        <v>10</v>
      </c>
      <c r="BJ91">
        <v>10</v>
      </c>
      <c r="BL91" t="s">
        <v>396</v>
      </c>
      <c r="BN91">
        <v>8</v>
      </c>
      <c r="BO91">
        <v>8</v>
      </c>
      <c r="BP91">
        <v>8</v>
      </c>
      <c r="BQ91">
        <v>8</v>
      </c>
      <c r="BS91" t="s">
        <v>396</v>
      </c>
      <c r="BU91">
        <v>2</v>
      </c>
      <c r="BV91">
        <v>1</v>
      </c>
      <c r="BW91">
        <v>1</v>
      </c>
      <c r="BX91">
        <v>0</v>
      </c>
      <c r="BZ91" t="s">
        <v>396</v>
      </c>
      <c r="CC91">
        <v>17</v>
      </c>
      <c r="CE91">
        <v>16</v>
      </c>
    </row>
    <row r="92" spans="1:83" ht="17" x14ac:dyDescent="0.2">
      <c r="A92" s="53">
        <v>4</v>
      </c>
      <c r="B92" s="13"/>
      <c r="C92" s="13">
        <v>18</v>
      </c>
      <c r="D92" s="13">
        <v>18</v>
      </c>
      <c r="E92" s="13">
        <v>16</v>
      </c>
      <c r="F92" s="13">
        <v>15</v>
      </c>
      <c r="G92" s="13"/>
      <c r="H92" s="53">
        <v>4</v>
      </c>
      <c r="I92" s="13"/>
      <c r="J92" s="13">
        <v>10</v>
      </c>
      <c r="K92" s="13">
        <v>10</v>
      </c>
      <c r="L92" s="13">
        <v>8</v>
      </c>
      <c r="M92" s="13">
        <v>7</v>
      </c>
      <c r="N92" s="13"/>
      <c r="O92" s="53">
        <v>4</v>
      </c>
      <c r="P92" s="13"/>
      <c r="Q92" s="13">
        <v>14</v>
      </c>
      <c r="R92" s="13">
        <v>14</v>
      </c>
      <c r="S92" s="13">
        <v>13</v>
      </c>
      <c r="T92" s="13">
        <v>13</v>
      </c>
      <c r="U92" s="13"/>
      <c r="V92" s="53">
        <v>4</v>
      </c>
      <c r="W92" s="13"/>
      <c r="X92" s="13">
        <v>12</v>
      </c>
      <c r="Y92" s="13">
        <v>12</v>
      </c>
      <c r="Z92" s="13">
        <v>10</v>
      </c>
      <c r="AA92" s="13">
        <v>9</v>
      </c>
      <c r="AB92" s="13"/>
      <c r="AC92" s="53">
        <v>4</v>
      </c>
      <c r="AD92" s="13"/>
      <c r="AE92" s="13">
        <v>6</v>
      </c>
      <c r="AF92" s="13">
        <v>6</v>
      </c>
      <c r="AG92" s="13">
        <v>5</v>
      </c>
      <c r="AH92" s="13">
        <v>5</v>
      </c>
      <c r="AI92" s="13"/>
      <c r="AJ92" s="53">
        <v>4</v>
      </c>
      <c r="AK92" s="13"/>
      <c r="AL92" s="13">
        <v>26</v>
      </c>
      <c r="AM92" s="13">
        <v>24</v>
      </c>
      <c r="AN92" s="13">
        <v>20</v>
      </c>
      <c r="AO92" s="13">
        <v>19</v>
      </c>
      <c r="AP92" s="13"/>
      <c r="AQ92" s="53">
        <v>4</v>
      </c>
      <c r="AR92" s="13"/>
      <c r="AS92" s="13">
        <v>4</v>
      </c>
      <c r="AT92" s="13">
        <v>4</v>
      </c>
      <c r="AU92" s="13">
        <v>3</v>
      </c>
      <c r="AV92" s="13">
        <v>2</v>
      </c>
      <c r="AW92" s="13"/>
      <c r="AX92" s="53">
        <v>4</v>
      </c>
      <c r="AY92" s="13"/>
      <c r="AZ92" s="13">
        <v>6</v>
      </c>
      <c r="BA92" s="13">
        <v>5</v>
      </c>
      <c r="BB92" s="13">
        <v>4</v>
      </c>
      <c r="BC92" s="13">
        <v>3</v>
      </c>
      <c r="BE92" t="s">
        <v>395</v>
      </c>
      <c r="BG92">
        <v>13</v>
      </c>
      <c r="BH92">
        <v>13</v>
      </c>
      <c r="BI92">
        <v>13</v>
      </c>
      <c r="BJ92">
        <v>13</v>
      </c>
      <c r="BL92" t="s">
        <v>395</v>
      </c>
      <c r="BS92" t="s">
        <v>395</v>
      </c>
      <c r="BV92">
        <v>3</v>
      </c>
      <c r="BW92">
        <v>2</v>
      </c>
      <c r="BX92">
        <v>1</v>
      </c>
      <c r="BZ92" t="s">
        <v>395</v>
      </c>
      <c r="CB92">
        <v>18</v>
      </c>
      <c r="CC92">
        <v>18</v>
      </c>
      <c r="CD92">
        <v>17</v>
      </c>
      <c r="CE92">
        <v>17</v>
      </c>
    </row>
    <row r="93" spans="1:83" ht="17" x14ac:dyDescent="0.2">
      <c r="A93" s="53">
        <v>5</v>
      </c>
      <c r="B93" s="13"/>
      <c r="C93" s="13">
        <v>21</v>
      </c>
      <c r="D93" s="13">
        <v>21</v>
      </c>
      <c r="E93" s="13">
        <v>18</v>
      </c>
      <c r="F93" s="13">
        <v>16</v>
      </c>
      <c r="G93" s="13"/>
      <c r="H93" s="53">
        <v>5</v>
      </c>
      <c r="I93" s="13"/>
      <c r="J93" s="13">
        <v>12</v>
      </c>
      <c r="K93" s="13">
        <v>12</v>
      </c>
      <c r="L93" s="13">
        <v>10</v>
      </c>
      <c r="M93" s="13">
        <v>9</v>
      </c>
      <c r="N93" s="13"/>
      <c r="O93" s="53">
        <v>5</v>
      </c>
      <c r="P93" s="13"/>
      <c r="Q93" s="13">
        <v>15</v>
      </c>
      <c r="R93" s="13">
        <v>15</v>
      </c>
      <c r="S93" s="13">
        <v>15</v>
      </c>
      <c r="T93" s="13">
        <v>14</v>
      </c>
      <c r="U93" s="13"/>
      <c r="V93" s="53">
        <v>5</v>
      </c>
      <c r="W93" s="13"/>
      <c r="X93" s="13">
        <v>14</v>
      </c>
      <c r="Y93" s="13">
        <v>14</v>
      </c>
      <c r="Z93" s="13">
        <v>12</v>
      </c>
      <c r="AA93" s="13">
        <v>11</v>
      </c>
      <c r="AB93" s="13"/>
      <c r="AC93" s="53">
        <v>5</v>
      </c>
      <c r="AD93" s="13"/>
      <c r="AE93" s="13">
        <v>7</v>
      </c>
      <c r="AF93" s="13">
        <v>7</v>
      </c>
      <c r="AG93" s="13">
        <v>7</v>
      </c>
      <c r="AH93" s="13">
        <v>6</v>
      </c>
      <c r="AI93" s="13"/>
      <c r="AJ93" s="53">
        <v>5</v>
      </c>
      <c r="AK93" s="13"/>
      <c r="AL93" s="13">
        <v>31</v>
      </c>
      <c r="AM93" s="13">
        <v>28</v>
      </c>
      <c r="AN93" s="13">
        <v>23</v>
      </c>
      <c r="AO93" s="13">
        <v>22</v>
      </c>
      <c r="AP93" s="13"/>
      <c r="AQ93" s="53">
        <v>5</v>
      </c>
      <c r="AR93" s="13"/>
      <c r="AS93" s="13">
        <v>5</v>
      </c>
      <c r="AT93" s="13">
        <v>5</v>
      </c>
      <c r="AU93" s="13">
        <v>4</v>
      </c>
      <c r="AV93" s="13">
        <v>3</v>
      </c>
      <c r="AW93" s="13"/>
      <c r="AX93" s="53">
        <v>5</v>
      </c>
      <c r="AY93" s="13"/>
      <c r="AZ93" s="13">
        <v>7</v>
      </c>
      <c r="BA93" s="13">
        <v>6</v>
      </c>
      <c r="BB93" s="13">
        <v>5</v>
      </c>
      <c r="BC93" s="13">
        <v>4</v>
      </c>
      <c r="BE93" t="s">
        <v>394</v>
      </c>
      <c r="BG93">
        <v>14</v>
      </c>
      <c r="BH93">
        <v>14</v>
      </c>
      <c r="BI93">
        <v>14</v>
      </c>
      <c r="BJ93">
        <v>14</v>
      </c>
      <c r="BL93" t="s">
        <v>394</v>
      </c>
      <c r="BN93">
        <v>9</v>
      </c>
      <c r="BO93">
        <v>9</v>
      </c>
      <c r="BS93" t="s">
        <v>394</v>
      </c>
      <c r="BU93">
        <v>4</v>
      </c>
      <c r="BW93">
        <v>3</v>
      </c>
      <c r="BX93">
        <v>2</v>
      </c>
      <c r="BZ93" t="s">
        <v>394</v>
      </c>
      <c r="CD93">
        <v>18</v>
      </c>
      <c r="CE93">
        <v>18</v>
      </c>
    </row>
    <row r="94" spans="1:83" ht="17" x14ac:dyDescent="0.2">
      <c r="A94" s="354">
        <v>6</v>
      </c>
      <c r="B94" s="355"/>
      <c r="C94" s="355">
        <v>22</v>
      </c>
      <c r="D94" s="355">
        <v>22</v>
      </c>
      <c r="E94" s="355">
        <v>19</v>
      </c>
      <c r="F94" s="355">
        <v>17</v>
      </c>
      <c r="G94" s="355"/>
      <c r="H94" s="354">
        <v>6</v>
      </c>
      <c r="I94" s="355"/>
      <c r="J94" s="355">
        <v>13</v>
      </c>
      <c r="K94" s="355">
        <v>13</v>
      </c>
      <c r="L94" s="355">
        <v>12</v>
      </c>
      <c r="M94" s="355">
        <v>11</v>
      </c>
      <c r="N94" s="355"/>
      <c r="O94" s="354">
        <v>6</v>
      </c>
      <c r="P94" s="355"/>
      <c r="Q94" s="355">
        <v>16</v>
      </c>
      <c r="R94" s="355">
        <v>16</v>
      </c>
      <c r="S94" s="355"/>
      <c r="T94" s="355">
        <v>15</v>
      </c>
      <c r="U94" s="355"/>
      <c r="V94" s="354">
        <v>6</v>
      </c>
      <c r="W94" s="355"/>
      <c r="X94" s="355">
        <v>15</v>
      </c>
      <c r="Y94" s="355">
        <v>15</v>
      </c>
      <c r="Z94" s="355">
        <v>14</v>
      </c>
      <c r="AA94" s="355">
        <v>12</v>
      </c>
      <c r="AB94" s="355"/>
      <c r="AC94" s="354">
        <v>6</v>
      </c>
      <c r="AD94" s="355"/>
      <c r="AE94" s="355">
        <v>8</v>
      </c>
      <c r="AF94" s="355"/>
      <c r="AG94" s="355"/>
      <c r="AH94" s="355">
        <v>7</v>
      </c>
      <c r="AI94" s="355"/>
      <c r="AJ94" s="354">
        <v>6</v>
      </c>
      <c r="AK94" s="355"/>
      <c r="AL94" s="355">
        <v>34</v>
      </c>
      <c r="AM94" s="355">
        <v>32</v>
      </c>
      <c r="AN94" s="355">
        <v>25</v>
      </c>
      <c r="AO94" s="355">
        <v>24</v>
      </c>
      <c r="AP94" s="355"/>
      <c r="AQ94" s="354">
        <v>6</v>
      </c>
      <c r="AR94" s="355"/>
      <c r="AS94" s="355">
        <v>6</v>
      </c>
      <c r="AT94" s="355"/>
      <c r="AU94" s="355">
        <v>5</v>
      </c>
      <c r="AV94" s="355">
        <v>4</v>
      </c>
      <c r="AW94" s="355"/>
      <c r="AX94" s="354">
        <v>6</v>
      </c>
      <c r="AY94" s="355"/>
      <c r="AZ94" s="355">
        <v>9</v>
      </c>
      <c r="BA94" s="355">
        <v>8</v>
      </c>
      <c r="BB94" s="355">
        <v>6</v>
      </c>
      <c r="BC94" s="355">
        <v>5</v>
      </c>
      <c r="BE94" t="s">
        <v>393</v>
      </c>
      <c r="BG94">
        <v>15</v>
      </c>
      <c r="BH94">
        <v>15</v>
      </c>
      <c r="BI94">
        <v>15</v>
      </c>
      <c r="BJ94">
        <v>15</v>
      </c>
      <c r="BL94" t="s">
        <v>393</v>
      </c>
      <c r="BP94">
        <v>9</v>
      </c>
      <c r="BQ94">
        <v>9</v>
      </c>
      <c r="BS94" t="s">
        <v>393</v>
      </c>
      <c r="BU94">
        <v>5</v>
      </c>
      <c r="BV94">
        <v>4</v>
      </c>
      <c r="BW94">
        <v>4</v>
      </c>
      <c r="BX94">
        <v>3</v>
      </c>
      <c r="BZ94" t="s">
        <v>393</v>
      </c>
      <c r="CB94">
        <v>19</v>
      </c>
      <c r="CC94">
        <v>19</v>
      </c>
      <c r="CD94">
        <v>19</v>
      </c>
      <c r="CE94">
        <v>19</v>
      </c>
    </row>
    <row r="95" spans="1:83" ht="17" x14ac:dyDescent="0.2">
      <c r="A95" s="53">
        <v>7</v>
      </c>
      <c r="B95" s="13"/>
      <c r="C95" s="13">
        <v>24</v>
      </c>
      <c r="D95" s="13">
        <v>24</v>
      </c>
      <c r="E95" s="13">
        <v>21</v>
      </c>
      <c r="F95" s="13">
        <v>19</v>
      </c>
      <c r="G95" s="13"/>
      <c r="H95" s="53">
        <v>7</v>
      </c>
      <c r="I95" s="13"/>
      <c r="J95" s="13"/>
      <c r="K95" s="13"/>
      <c r="L95" s="13">
        <v>13</v>
      </c>
      <c r="M95" s="13"/>
      <c r="N95" s="13"/>
      <c r="O95" s="53">
        <v>7</v>
      </c>
      <c r="P95" s="13"/>
      <c r="Q95" s="13"/>
      <c r="R95" s="13"/>
      <c r="S95" s="13">
        <v>16</v>
      </c>
      <c r="T95" s="13"/>
      <c r="U95" s="13"/>
      <c r="V95" s="53">
        <v>7</v>
      </c>
      <c r="W95" s="13"/>
      <c r="X95" s="13">
        <v>16</v>
      </c>
      <c r="Y95" s="13">
        <v>16</v>
      </c>
      <c r="Z95" s="13">
        <v>15</v>
      </c>
      <c r="AA95" s="13">
        <v>14</v>
      </c>
      <c r="AB95" s="13"/>
      <c r="AC95" s="53">
        <v>7</v>
      </c>
      <c r="AD95" s="13"/>
      <c r="AE95" s="13"/>
      <c r="AF95" s="13">
        <v>8</v>
      </c>
      <c r="AG95" s="13">
        <v>8</v>
      </c>
      <c r="AH95" s="13"/>
      <c r="AI95" s="13"/>
      <c r="AJ95" s="53">
        <v>7</v>
      </c>
      <c r="AK95" s="13"/>
      <c r="AL95" s="13">
        <v>37</v>
      </c>
      <c r="AM95" s="13">
        <v>36</v>
      </c>
      <c r="AN95" s="13">
        <v>28</v>
      </c>
      <c r="AO95" s="13">
        <v>27</v>
      </c>
      <c r="AP95" s="13"/>
      <c r="AQ95" s="53">
        <v>7</v>
      </c>
      <c r="AR95" s="13"/>
      <c r="AS95" s="13">
        <v>7</v>
      </c>
      <c r="AT95" s="13">
        <v>6</v>
      </c>
      <c r="AU95" s="13">
        <v>6</v>
      </c>
      <c r="AV95" s="13">
        <v>5</v>
      </c>
      <c r="AW95" s="13"/>
      <c r="AX95" s="53">
        <v>7</v>
      </c>
      <c r="AY95" s="13"/>
      <c r="AZ95" s="13">
        <v>10</v>
      </c>
      <c r="BA95" s="13">
        <v>9</v>
      </c>
      <c r="BB95" s="13">
        <v>8</v>
      </c>
      <c r="BC95" s="13">
        <v>7</v>
      </c>
      <c r="BE95" t="s">
        <v>392</v>
      </c>
      <c r="BG95">
        <v>18</v>
      </c>
      <c r="BH95">
        <v>17</v>
      </c>
      <c r="BI95">
        <v>17</v>
      </c>
      <c r="BJ95">
        <v>17</v>
      </c>
      <c r="BL95" t="s">
        <v>392</v>
      </c>
      <c r="BN95">
        <v>10</v>
      </c>
      <c r="BO95">
        <v>10</v>
      </c>
      <c r="BP95">
        <v>10</v>
      </c>
      <c r="BS95" t="s">
        <v>392</v>
      </c>
      <c r="BU95">
        <v>7</v>
      </c>
      <c r="BV95">
        <v>6</v>
      </c>
      <c r="BW95">
        <v>5</v>
      </c>
      <c r="BX95">
        <v>4</v>
      </c>
      <c r="BZ95" t="s">
        <v>392</v>
      </c>
      <c r="CB95">
        <v>20</v>
      </c>
      <c r="CC95">
        <v>20</v>
      </c>
      <c r="CD95">
        <v>20</v>
      </c>
      <c r="CE95">
        <v>20</v>
      </c>
    </row>
    <row r="96" spans="1:83" ht="17" x14ac:dyDescent="0.2">
      <c r="A96" s="53">
        <v>8</v>
      </c>
      <c r="B96" s="13"/>
      <c r="C96" s="13">
        <v>25</v>
      </c>
      <c r="D96" s="13">
        <v>25</v>
      </c>
      <c r="E96" s="13">
        <v>23</v>
      </c>
      <c r="F96" s="13">
        <v>20</v>
      </c>
      <c r="G96" s="13"/>
      <c r="H96" s="53">
        <v>8</v>
      </c>
      <c r="I96" s="13"/>
      <c r="J96" s="13">
        <v>15</v>
      </c>
      <c r="K96" s="13">
        <v>15</v>
      </c>
      <c r="L96" s="13">
        <v>14</v>
      </c>
      <c r="M96" s="13">
        <v>12</v>
      </c>
      <c r="N96" s="13"/>
      <c r="O96" s="53">
        <v>8</v>
      </c>
      <c r="P96" s="13"/>
      <c r="Q96" s="13">
        <v>17</v>
      </c>
      <c r="R96" s="13">
        <v>17</v>
      </c>
      <c r="S96" s="13"/>
      <c r="T96" s="13">
        <v>16</v>
      </c>
      <c r="U96" s="13"/>
      <c r="V96" s="53">
        <v>8</v>
      </c>
      <c r="W96" s="13"/>
      <c r="X96" s="13">
        <v>18</v>
      </c>
      <c r="Y96" s="13">
        <v>18</v>
      </c>
      <c r="Z96" s="13">
        <v>17</v>
      </c>
      <c r="AA96" s="13">
        <v>15</v>
      </c>
      <c r="AB96" s="13"/>
      <c r="AC96" s="53">
        <v>8</v>
      </c>
      <c r="AD96" s="13"/>
      <c r="AE96" s="13">
        <v>9</v>
      </c>
      <c r="AF96" s="13">
        <v>9</v>
      </c>
      <c r="AG96" s="13">
        <v>9</v>
      </c>
      <c r="AH96" s="13"/>
      <c r="AI96" s="13"/>
      <c r="AJ96" s="53">
        <v>8</v>
      </c>
      <c r="AK96" s="13"/>
      <c r="AL96" s="13">
        <v>41</v>
      </c>
      <c r="AM96" s="13">
        <v>41</v>
      </c>
      <c r="AN96" s="13">
        <v>32</v>
      </c>
      <c r="AO96" s="13">
        <v>29</v>
      </c>
      <c r="AP96" s="13"/>
      <c r="AQ96" s="53">
        <v>8</v>
      </c>
      <c r="AR96" s="13"/>
      <c r="AS96" s="13">
        <v>8</v>
      </c>
      <c r="AT96" s="13">
        <v>7</v>
      </c>
      <c r="AU96" s="13">
        <v>7</v>
      </c>
      <c r="AV96" s="13">
        <v>6</v>
      </c>
      <c r="AW96" s="13"/>
      <c r="AX96" s="53">
        <v>8</v>
      </c>
      <c r="AY96" s="13"/>
      <c r="AZ96" s="13">
        <v>11</v>
      </c>
      <c r="BA96" s="13">
        <v>10</v>
      </c>
      <c r="BB96" s="13">
        <v>9</v>
      </c>
      <c r="BC96" s="13">
        <v>9</v>
      </c>
      <c r="BE96" t="s">
        <v>391</v>
      </c>
      <c r="BG96">
        <v>19</v>
      </c>
      <c r="BH96">
        <v>19</v>
      </c>
      <c r="BI96">
        <v>19</v>
      </c>
      <c r="BJ96">
        <v>18</v>
      </c>
      <c r="BL96" t="s">
        <v>391</v>
      </c>
      <c r="BQ96">
        <v>10</v>
      </c>
      <c r="BS96" t="s">
        <v>391</v>
      </c>
      <c r="BU96">
        <v>8</v>
      </c>
      <c r="BV96">
        <v>8</v>
      </c>
      <c r="BW96">
        <v>7</v>
      </c>
      <c r="BX96">
        <v>6</v>
      </c>
      <c r="BZ96" t="s">
        <v>391</v>
      </c>
    </row>
    <row r="97" spans="1:79" x14ac:dyDescent="0.2">
      <c r="A97" s="53">
        <v>9</v>
      </c>
      <c r="B97" s="13"/>
      <c r="C97" s="13">
        <v>26</v>
      </c>
      <c r="D97" s="13">
        <v>26</v>
      </c>
      <c r="E97" s="13">
        <v>24</v>
      </c>
      <c r="F97" s="13">
        <v>21</v>
      </c>
      <c r="G97" s="13"/>
      <c r="H97" s="53">
        <v>9</v>
      </c>
      <c r="I97" s="13"/>
      <c r="J97" s="13">
        <v>16</v>
      </c>
      <c r="K97" s="13">
        <v>16</v>
      </c>
      <c r="L97" s="13">
        <v>15</v>
      </c>
      <c r="M97" s="13">
        <v>13</v>
      </c>
      <c r="N97" s="13"/>
      <c r="O97" s="53">
        <v>9</v>
      </c>
      <c r="P97" s="13"/>
      <c r="Q97" s="13"/>
      <c r="R97" s="13"/>
      <c r="S97" s="13">
        <v>17</v>
      </c>
      <c r="T97" s="13"/>
      <c r="U97" s="13"/>
      <c r="V97" s="53">
        <v>9</v>
      </c>
      <c r="W97" s="13"/>
      <c r="X97" s="13">
        <v>20</v>
      </c>
      <c r="Y97" s="13">
        <v>20</v>
      </c>
      <c r="Z97" s="13">
        <v>19</v>
      </c>
      <c r="AA97" s="13">
        <v>16</v>
      </c>
      <c r="AB97" s="13"/>
      <c r="AC97" s="53">
        <v>9</v>
      </c>
      <c r="AD97" s="13"/>
      <c r="AE97" s="13"/>
      <c r="AF97" s="13"/>
      <c r="AG97" s="13"/>
      <c r="AH97" s="13">
        <v>8</v>
      </c>
      <c r="AI97" s="13"/>
      <c r="AJ97" s="53">
        <v>9</v>
      </c>
      <c r="AK97" s="13"/>
      <c r="AL97" s="13">
        <v>43</v>
      </c>
      <c r="AM97" s="13">
        <v>43</v>
      </c>
      <c r="AN97" s="13">
        <v>37</v>
      </c>
      <c r="AO97" s="13">
        <v>31</v>
      </c>
      <c r="AP97" s="13"/>
      <c r="AQ97" s="53">
        <v>9</v>
      </c>
      <c r="AR97" s="13"/>
      <c r="AS97" s="13">
        <v>9</v>
      </c>
      <c r="AT97" s="13">
        <v>8</v>
      </c>
      <c r="AU97" s="13">
        <v>8</v>
      </c>
      <c r="AV97" s="13">
        <v>7</v>
      </c>
      <c r="AW97" s="13"/>
      <c r="AX97" s="53">
        <v>9</v>
      </c>
      <c r="AY97" s="13"/>
      <c r="AZ97" s="13">
        <v>13</v>
      </c>
      <c r="BA97" s="13">
        <v>12</v>
      </c>
      <c r="BB97" s="13">
        <v>11</v>
      </c>
      <c r="BC97" s="13">
        <v>10</v>
      </c>
    </row>
    <row r="98" spans="1:79" x14ac:dyDescent="0.2">
      <c r="A98" s="53">
        <v>10</v>
      </c>
      <c r="B98" s="13"/>
      <c r="C98" s="13">
        <v>27</v>
      </c>
      <c r="D98" s="13">
        <v>27</v>
      </c>
      <c r="E98" s="13">
        <v>26</v>
      </c>
      <c r="F98" s="13">
        <v>23</v>
      </c>
      <c r="G98" s="13"/>
      <c r="H98" s="53">
        <v>10</v>
      </c>
      <c r="I98" s="13"/>
      <c r="J98" s="13"/>
      <c r="L98" s="13"/>
      <c r="M98" s="13">
        <v>15</v>
      </c>
      <c r="N98" s="13"/>
      <c r="O98" s="53">
        <v>10</v>
      </c>
      <c r="P98" s="13"/>
      <c r="Q98" s="13">
        <v>18</v>
      </c>
      <c r="R98" s="13">
        <v>18</v>
      </c>
      <c r="S98" s="13">
        <v>18</v>
      </c>
      <c r="T98" s="13">
        <v>17</v>
      </c>
      <c r="U98" s="13"/>
      <c r="V98" s="53">
        <v>10</v>
      </c>
      <c r="W98" s="13"/>
      <c r="X98" s="13">
        <v>21</v>
      </c>
      <c r="Y98" s="13">
        <v>21</v>
      </c>
      <c r="Z98" s="13">
        <v>20</v>
      </c>
      <c r="AA98" s="13">
        <v>17</v>
      </c>
      <c r="AB98" s="13"/>
      <c r="AC98" s="53">
        <v>10</v>
      </c>
      <c r="AD98" s="13"/>
      <c r="AE98" s="13">
        <v>10</v>
      </c>
      <c r="AF98" s="13">
        <v>10</v>
      </c>
      <c r="AG98" s="13">
        <v>10</v>
      </c>
      <c r="AH98" s="13">
        <v>9</v>
      </c>
      <c r="AI98" s="13"/>
      <c r="AJ98" s="53">
        <v>10</v>
      </c>
      <c r="AK98" s="13"/>
      <c r="AL98" s="13">
        <v>45</v>
      </c>
      <c r="AM98" s="13">
        <v>45</v>
      </c>
      <c r="AN98" s="13">
        <v>40</v>
      </c>
      <c r="AO98" s="13">
        <v>33</v>
      </c>
      <c r="AP98" s="13"/>
      <c r="AQ98" s="53">
        <v>10</v>
      </c>
      <c r="AR98" s="13"/>
      <c r="AS98" s="13">
        <v>10</v>
      </c>
      <c r="AT98" s="13">
        <v>9</v>
      </c>
      <c r="AU98" s="13">
        <v>9</v>
      </c>
      <c r="AV98" s="13">
        <v>8</v>
      </c>
      <c r="AW98" s="13"/>
      <c r="AX98" s="53">
        <v>10</v>
      </c>
      <c r="AY98" s="13"/>
      <c r="AZ98" s="13">
        <v>14</v>
      </c>
      <c r="BA98" s="13">
        <v>13</v>
      </c>
      <c r="BB98" s="13">
        <v>12</v>
      </c>
      <c r="BC98" s="13">
        <v>12</v>
      </c>
    </row>
    <row r="99" spans="1:79" x14ac:dyDescent="0.2">
      <c r="A99" s="356">
        <v>11</v>
      </c>
      <c r="B99" s="357"/>
      <c r="C99" s="357">
        <v>29</v>
      </c>
      <c r="D99" s="357">
        <v>28</v>
      </c>
      <c r="E99" s="357">
        <v>27</v>
      </c>
      <c r="F99" s="357">
        <v>24</v>
      </c>
      <c r="G99" s="357"/>
      <c r="H99" s="356">
        <v>11</v>
      </c>
      <c r="I99" s="357"/>
      <c r="J99" s="357">
        <v>17</v>
      </c>
      <c r="K99" s="357">
        <v>21</v>
      </c>
      <c r="L99" s="357">
        <v>17</v>
      </c>
      <c r="M99" s="357">
        <v>17</v>
      </c>
      <c r="N99" s="357"/>
      <c r="O99" s="356">
        <v>11</v>
      </c>
      <c r="P99" s="357"/>
      <c r="Q99" s="357">
        <v>19</v>
      </c>
      <c r="R99" s="357">
        <v>19</v>
      </c>
      <c r="S99" s="357"/>
      <c r="T99" s="357">
        <v>18</v>
      </c>
      <c r="U99" s="357"/>
      <c r="V99" s="356">
        <v>11</v>
      </c>
      <c r="W99" s="357"/>
      <c r="X99" s="357">
        <v>23</v>
      </c>
      <c r="Y99" s="357">
        <v>23</v>
      </c>
      <c r="Z99" s="357">
        <v>21</v>
      </c>
      <c r="AA99" s="357">
        <v>19</v>
      </c>
      <c r="AB99" s="357"/>
      <c r="AC99" s="356">
        <v>11</v>
      </c>
      <c r="AD99" s="357"/>
      <c r="AE99" s="357">
        <v>11</v>
      </c>
      <c r="AF99" s="357">
        <v>11</v>
      </c>
      <c r="AG99" s="357">
        <v>11</v>
      </c>
      <c r="AH99" s="357"/>
      <c r="AI99" s="357"/>
      <c r="AJ99" s="356">
        <v>11</v>
      </c>
      <c r="AK99" s="357"/>
      <c r="AL99" s="357">
        <v>49</v>
      </c>
      <c r="AM99" s="357">
        <v>49</v>
      </c>
      <c r="AN99" s="357">
        <v>43</v>
      </c>
      <c r="AO99" s="357">
        <v>35</v>
      </c>
      <c r="AP99" s="357"/>
      <c r="AQ99" s="356">
        <v>11</v>
      </c>
      <c r="AR99" s="357"/>
      <c r="AS99" s="357"/>
      <c r="AT99" s="357">
        <v>10</v>
      </c>
      <c r="AU99" s="357"/>
      <c r="AV99" s="357">
        <v>9</v>
      </c>
      <c r="AW99" s="357"/>
      <c r="AX99" s="356">
        <v>11</v>
      </c>
      <c r="AY99" s="357"/>
      <c r="AZ99" s="357">
        <v>15</v>
      </c>
      <c r="BA99" s="357">
        <v>14</v>
      </c>
      <c r="BB99" s="357">
        <v>14</v>
      </c>
      <c r="BC99" s="357">
        <v>13</v>
      </c>
    </row>
    <row r="100" spans="1:79" x14ac:dyDescent="0.2">
      <c r="A100" s="53">
        <v>12</v>
      </c>
      <c r="B100" s="13"/>
      <c r="C100" s="13">
        <v>30</v>
      </c>
      <c r="D100" s="13">
        <v>30</v>
      </c>
      <c r="E100" s="13">
        <v>29</v>
      </c>
      <c r="F100" s="13">
        <v>26</v>
      </c>
      <c r="G100" s="13"/>
      <c r="H100" s="53">
        <v>12</v>
      </c>
      <c r="I100" s="13"/>
      <c r="J100" s="13"/>
      <c r="K100" s="13"/>
      <c r="L100" s="13">
        <v>20</v>
      </c>
      <c r="M100" s="13">
        <v>18</v>
      </c>
      <c r="N100" s="13"/>
      <c r="O100" s="53">
        <v>12</v>
      </c>
      <c r="P100" s="13"/>
      <c r="Q100" s="13"/>
      <c r="R100" s="13"/>
      <c r="S100" s="13">
        <v>19</v>
      </c>
      <c r="T100" s="13">
        <v>19</v>
      </c>
      <c r="U100" s="13"/>
      <c r="V100" s="53">
        <v>12</v>
      </c>
      <c r="W100" s="13"/>
      <c r="X100" s="13">
        <v>25</v>
      </c>
      <c r="Y100" s="13">
        <v>25</v>
      </c>
      <c r="Z100" s="13">
        <v>23</v>
      </c>
      <c r="AA100" s="13">
        <v>20</v>
      </c>
      <c r="AB100" s="13"/>
      <c r="AC100" s="53">
        <v>12</v>
      </c>
      <c r="AD100" s="13"/>
      <c r="AE100" s="13">
        <v>12</v>
      </c>
      <c r="AF100" s="13">
        <v>12</v>
      </c>
      <c r="AG100" s="13">
        <v>12</v>
      </c>
      <c r="AH100" s="13">
        <v>10</v>
      </c>
      <c r="AI100" s="13"/>
      <c r="AJ100" s="53">
        <v>12</v>
      </c>
      <c r="AK100" s="13"/>
      <c r="AL100" s="13">
        <v>51</v>
      </c>
      <c r="AM100" s="13">
        <v>50</v>
      </c>
      <c r="AN100" s="13">
        <v>46</v>
      </c>
      <c r="AO100" s="13">
        <v>38</v>
      </c>
      <c r="AP100" s="13"/>
      <c r="AQ100" s="53">
        <v>12</v>
      </c>
      <c r="AR100" s="13"/>
      <c r="AS100" s="13">
        <v>11</v>
      </c>
      <c r="AT100" s="13"/>
      <c r="AU100" s="13">
        <v>10</v>
      </c>
      <c r="AV100" s="13">
        <v>10</v>
      </c>
      <c r="AW100" s="13"/>
      <c r="AX100" s="53">
        <v>12</v>
      </c>
      <c r="AY100" s="13"/>
      <c r="AZ100" s="13">
        <v>16</v>
      </c>
      <c r="BA100" s="13">
        <v>16</v>
      </c>
      <c r="BB100" s="13">
        <v>15</v>
      </c>
      <c r="BC100" s="13">
        <v>15</v>
      </c>
    </row>
    <row r="101" spans="1:79" x14ac:dyDescent="0.2">
      <c r="A101" s="53">
        <v>13</v>
      </c>
      <c r="B101" s="13"/>
      <c r="C101" s="13">
        <v>33</v>
      </c>
      <c r="D101" s="13">
        <v>33</v>
      </c>
      <c r="E101" s="13">
        <v>31</v>
      </c>
      <c r="F101" s="13">
        <v>27</v>
      </c>
      <c r="G101" s="13"/>
      <c r="H101" s="53">
        <v>13</v>
      </c>
      <c r="I101" s="13"/>
      <c r="J101" s="13">
        <v>22</v>
      </c>
      <c r="K101" s="13">
        <v>22</v>
      </c>
      <c r="L101" s="13">
        <v>21</v>
      </c>
      <c r="M101" s="13">
        <v>19</v>
      </c>
      <c r="N101" s="13"/>
      <c r="O101" s="53">
        <v>13</v>
      </c>
      <c r="P101" s="13"/>
      <c r="Q101" s="13">
        <v>20</v>
      </c>
      <c r="R101" s="13"/>
      <c r="S101" s="13"/>
      <c r="T101" s="13"/>
      <c r="U101" s="13"/>
      <c r="V101" s="53">
        <v>13</v>
      </c>
      <c r="W101" s="13"/>
      <c r="X101" s="13">
        <v>26</v>
      </c>
      <c r="Y101" s="13">
        <v>26</v>
      </c>
      <c r="Z101" s="13">
        <v>25</v>
      </c>
      <c r="AA101" s="13">
        <v>21</v>
      </c>
      <c r="AB101" s="13"/>
      <c r="AC101" s="53">
        <v>13</v>
      </c>
      <c r="AD101" s="13"/>
      <c r="AE101" s="13">
        <v>13</v>
      </c>
      <c r="AF101" s="13"/>
      <c r="AG101" s="13"/>
      <c r="AH101" s="13">
        <v>11</v>
      </c>
      <c r="AI101" s="13"/>
      <c r="AJ101" s="53">
        <v>13</v>
      </c>
      <c r="AK101" s="13"/>
      <c r="AL101" s="13">
        <v>54</v>
      </c>
      <c r="AM101" s="13">
        <v>52</v>
      </c>
      <c r="AN101" s="13">
        <v>48</v>
      </c>
      <c r="AO101" s="13">
        <v>40</v>
      </c>
      <c r="AP101" s="13"/>
      <c r="AQ101" s="53">
        <v>13</v>
      </c>
      <c r="AR101" s="13"/>
      <c r="AS101" s="13"/>
      <c r="AT101" s="13">
        <v>11</v>
      </c>
      <c r="AU101" s="13">
        <v>11</v>
      </c>
      <c r="AV101" s="13">
        <v>11</v>
      </c>
      <c r="AW101" s="13"/>
      <c r="AX101" s="53">
        <v>13</v>
      </c>
      <c r="AY101" s="13"/>
      <c r="AZ101" s="13">
        <v>17</v>
      </c>
      <c r="BA101" s="13">
        <v>17</v>
      </c>
      <c r="BB101" s="13">
        <v>16</v>
      </c>
      <c r="BC101" s="13">
        <v>16</v>
      </c>
    </row>
    <row r="102" spans="1:79" x14ac:dyDescent="0.2">
      <c r="A102" s="53">
        <v>14</v>
      </c>
      <c r="B102" s="13"/>
      <c r="C102" s="13">
        <v>34</v>
      </c>
      <c r="D102" s="13">
        <v>34</v>
      </c>
      <c r="E102" s="13">
        <v>32</v>
      </c>
      <c r="F102" s="13">
        <v>29</v>
      </c>
      <c r="G102" s="13"/>
      <c r="H102" s="53">
        <v>14</v>
      </c>
      <c r="I102" s="13"/>
      <c r="J102" s="13"/>
      <c r="K102" s="13"/>
      <c r="L102" s="13"/>
      <c r="M102" s="13">
        <v>21</v>
      </c>
      <c r="N102" s="13"/>
      <c r="O102" s="53">
        <v>14</v>
      </c>
      <c r="P102" s="13"/>
      <c r="Q102" s="13"/>
      <c r="R102" s="13">
        <v>20</v>
      </c>
      <c r="S102" s="13">
        <v>20</v>
      </c>
      <c r="T102" s="13">
        <v>20</v>
      </c>
      <c r="U102" s="13"/>
      <c r="V102" s="53">
        <v>14</v>
      </c>
      <c r="W102" s="13"/>
      <c r="X102" s="13">
        <v>28</v>
      </c>
      <c r="Y102" s="13">
        <v>27</v>
      </c>
      <c r="Z102" s="13">
        <v>27</v>
      </c>
      <c r="AA102" s="13">
        <v>22</v>
      </c>
      <c r="AB102" s="13"/>
      <c r="AC102" s="53">
        <v>14</v>
      </c>
      <c r="AD102" s="13"/>
      <c r="AE102" s="13">
        <v>14</v>
      </c>
      <c r="AF102" s="13">
        <v>13</v>
      </c>
      <c r="AG102" s="13">
        <v>13</v>
      </c>
      <c r="AH102" s="13">
        <v>12</v>
      </c>
      <c r="AI102" s="13"/>
      <c r="AJ102" s="53">
        <v>14</v>
      </c>
      <c r="AK102" s="13"/>
      <c r="AL102" s="13">
        <v>57</v>
      </c>
      <c r="AM102" s="13">
        <v>54</v>
      </c>
      <c r="AN102" s="13">
        <v>51</v>
      </c>
      <c r="AO102" s="13">
        <v>42</v>
      </c>
      <c r="AP102" s="13"/>
      <c r="AQ102" s="53">
        <v>14</v>
      </c>
      <c r="AR102" s="13"/>
      <c r="AS102" s="13">
        <v>12</v>
      </c>
      <c r="AT102" s="13"/>
      <c r="AU102" s="13"/>
      <c r="AV102" s="13"/>
      <c r="AW102" s="13"/>
      <c r="AX102" s="53">
        <v>14</v>
      </c>
      <c r="AY102" s="13"/>
      <c r="AZ102" s="13">
        <v>18</v>
      </c>
      <c r="BA102" s="13">
        <v>18</v>
      </c>
      <c r="BB102" s="13">
        <v>18</v>
      </c>
      <c r="BC102" s="13">
        <v>17</v>
      </c>
    </row>
    <row r="103" spans="1:79" x14ac:dyDescent="0.2">
      <c r="A103" s="53">
        <v>15</v>
      </c>
      <c r="B103" s="13"/>
      <c r="C103" s="13">
        <v>35</v>
      </c>
      <c r="D103" s="13">
        <v>35</v>
      </c>
      <c r="E103" s="13">
        <v>33</v>
      </c>
      <c r="F103" s="13">
        <v>31</v>
      </c>
      <c r="G103" s="13"/>
      <c r="H103" s="53">
        <v>15</v>
      </c>
      <c r="I103" s="13"/>
      <c r="J103" s="13">
        <v>23</v>
      </c>
      <c r="K103" s="13">
        <v>23</v>
      </c>
      <c r="L103" s="13">
        <v>22</v>
      </c>
      <c r="M103" s="13">
        <v>22</v>
      </c>
      <c r="N103" s="13"/>
      <c r="O103" s="53">
        <v>15</v>
      </c>
      <c r="P103" s="13"/>
      <c r="Q103" s="13"/>
      <c r="R103" s="13"/>
      <c r="S103" s="13"/>
      <c r="T103" s="13"/>
      <c r="U103" s="13"/>
      <c r="V103" s="53">
        <v>15</v>
      </c>
      <c r="W103" s="13"/>
      <c r="X103" s="13">
        <v>30</v>
      </c>
      <c r="Y103" s="13">
        <v>29</v>
      </c>
      <c r="Z103" s="13">
        <v>28</v>
      </c>
      <c r="AA103" s="13">
        <v>23</v>
      </c>
      <c r="AB103" s="13"/>
      <c r="AC103" s="53">
        <v>15</v>
      </c>
      <c r="AD103" s="13"/>
      <c r="AE103" s="13">
        <v>15</v>
      </c>
      <c r="AF103" s="13">
        <v>14</v>
      </c>
      <c r="AG103" s="13">
        <v>14</v>
      </c>
      <c r="AH103" s="13">
        <v>13</v>
      </c>
      <c r="AI103" s="13"/>
      <c r="AJ103" s="53">
        <v>15</v>
      </c>
      <c r="AK103" s="13"/>
      <c r="AL103" s="13">
        <v>61</v>
      </c>
      <c r="AM103" s="13">
        <v>56</v>
      </c>
      <c r="AN103" s="13">
        <v>54</v>
      </c>
      <c r="AO103" s="13">
        <v>44</v>
      </c>
      <c r="AP103" s="13"/>
      <c r="AQ103" s="53">
        <v>15</v>
      </c>
      <c r="AR103" s="13"/>
      <c r="AS103" s="13"/>
      <c r="AT103" s="13">
        <v>12</v>
      </c>
      <c r="AU103" s="13">
        <v>12</v>
      </c>
      <c r="AV103" s="13">
        <v>12</v>
      </c>
      <c r="AW103" s="13"/>
      <c r="AX103" s="53">
        <v>15</v>
      </c>
      <c r="AY103" s="13"/>
      <c r="AZ103" s="13">
        <v>19</v>
      </c>
      <c r="BA103" s="13">
        <v>19</v>
      </c>
      <c r="BB103" s="13">
        <v>19</v>
      </c>
      <c r="BC103" s="13">
        <v>18</v>
      </c>
    </row>
    <row r="104" spans="1:79" x14ac:dyDescent="0.2">
      <c r="A104" s="358">
        <v>16</v>
      </c>
      <c r="B104" s="359"/>
      <c r="C104" s="359">
        <v>37</v>
      </c>
      <c r="D104" s="359">
        <v>36</v>
      </c>
      <c r="E104" s="359">
        <v>35</v>
      </c>
      <c r="F104" s="359">
        <v>33</v>
      </c>
      <c r="G104" s="359"/>
      <c r="H104" s="358">
        <v>16</v>
      </c>
      <c r="I104" s="359"/>
      <c r="J104" s="359"/>
      <c r="K104" s="359"/>
      <c r="L104" s="359">
        <v>23</v>
      </c>
      <c r="M104" s="359">
        <v>23</v>
      </c>
      <c r="N104" s="359"/>
      <c r="O104" s="358">
        <v>16</v>
      </c>
      <c r="P104" s="359"/>
      <c r="Q104" s="359"/>
      <c r="R104" s="359"/>
      <c r="S104" s="359"/>
      <c r="T104" s="359"/>
      <c r="U104" s="359"/>
      <c r="V104" s="358">
        <v>16</v>
      </c>
      <c r="W104" s="359"/>
      <c r="X104" s="359">
        <v>31</v>
      </c>
      <c r="Y104" s="359"/>
      <c r="Z104" s="359">
        <v>29</v>
      </c>
      <c r="AA104" s="359">
        <v>25</v>
      </c>
      <c r="AB104" s="359"/>
      <c r="AC104" s="358">
        <v>16</v>
      </c>
      <c r="AD104" s="359"/>
      <c r="AE104" s="359">
        <v>16</v>
      </c>
      <c r="AF104" s="359">
        <v>15</v>
      </c>
      <c r="AG104" s="359">
        <v>15</v>
      </c>
      <c r="AH104" s="359">
        <v>15</v>
      </c>
      <c r="AI104" s="359"/>
      <c r="AJ104" s="358">
        <v>16</v>
      </c>
      <c r="AK104" s="359"/>
      <c r="AL104" s="359">
        <v>63</v>
      </c>
      <c r="AM104" s="359">
        <v>59</v>
      </c>
      <c r="AN104" s="359">
        <v>57</v>
      </c>
      <c r="AO104" s="359">
        <v>46</v>
      </c>
      <c r="AP104" s="359"/>
      <c r="AQ104" s="358">
        <v>16</v>
      </c>
      <c r="AR104" s="359"/>
      <c r="AS104" s="359"/>
      <c r="AT104" s="359"/>
      <c r="AU104" s="359"/>
      <c r="AV104" s="359"/>
      <c r="AW104" s="359"/>
      <c r="AX104" s="358">
        <v>16</v>
      </c>
      <c r="AY104" s="359"/>
      <c r="AZ104" s="359">
        <v>20</v>
      </c>
      <c r="BA104" s="359"/>
      <c r="BB104" s="359"/>
      <c r="BC104" s="359">
        <v>19</v>
      </c>
    </row>
    <row r="105" spans="1:79" x14ac:dyDescent="0.2">
      <c r="A105" s="53">
        <v>17</v>
      </c>
      <c r="B105" s="13"/>
      <c r="C105" s="13">
        <v>38</v>
      </c>
      <c r="D105" s="13">
        <v>37</v>
      </c>
      <c r="E105" s="13">
        <v>37</v>
      </c>
      <c r="F105" s="13">
        <v>35</v>
      </c>
      <c r="G105" s="13"/>
      <c r="H105" s="53">
        <v>17</v>
      </c>
      <c r="I105" s="13"/>
      <c r="J105" s="13">
        <v>24</v>
      </c>
      <c r="K105" s="13">
        <v>24</v>
      </c>
      <c r="L105" s="13">
        <v>24</v>
      </c>
      <c r="M105" s="13">
        <v>24</v>
      </c>
      <c r="N105" s="13"/>
      <c r="O105" s="53">
        <v>17</v>
      </c>
      <c r="P105" s="13"/>
      <c r="Q105" s="13"/>
      <c r="R105" s="13"/>
      <c r="S105" s="13"/>
      <c r="T105" s="13"/>
      <c r="U105" s="13"/>
      <c r="V105" s="53">
        <v>17</v>
      </c>
      <c r="W105" s="13"/>
      <c r="X105" s="13">
        <v>33</v>
      </c>
      <c r="Y105" s="13">
        <v>31</v>
      </c>
      <c r="Z105" s="13">
        <v>31</v>
      </c>
      <c r="AA105" s="13">
        <v>27</v>
      </c>
      <c r="AB105" s="13"/>
      <c r="AC105" s="53">
        <v>17</v>
      </c>
      <c r="AD105" s="13"/>
      <c r="AE105" s="13"/>
      <c r="AF105" s="13"/>
      <c r="AG105" s="13"/>
      <c r="AH105" s="13">
        <v>16</v>
      </c>
      <c r="AI105" s="13"/>
      <c r="AJ105" s="53">
        <v>17</v>
      </c>
      <c r="AK105" s="13"/>
      <c r="AL105" s="13">
        <v>65</v>
      </c>
      <c r="AM105" s="13">
        <v>61</v>
      </c>
      <c r="AN105" s="13">
        <v>61</v>
      </c>
      <c r="AO105" s="13">
        <v>49</v>
      </c>
      <c r="AP105" s="13"/>
      <c r="AQ105" s="53">
        <v>17</v>
      </c>
      <c r="AR105" s="13"/>
      <c r="AS105" s="13"/>
      <c r="AT105" s="13"/>
      <c r="AU105" s="13"/>
      <c r="AV105" s="13"/>
      <c r="AW105" s="13"/>
      <c r="AX105" s="53">
        <v>17</v>
      </c>
      <c r="AY105" s="13"/>
      <c r="AZ105" s="13"/>
      <c r="BA105" s="13">
        <v>20</v>
      </c>
      <c r="BB105" s="13">
        <v>20</v>
      </c>
      <c r="BC105" s="13">
        <v>20</v>
      </c>
    </row>
    <row r="106" spans="1:79" x14ac:dyDescent="0.2">
      <c r="A106" s="53">
        <v>18</v>
      </c>
      <c r="B106" s="13"/>
      <c r="C106" s="13">
        <v>39</v>
      </c>
      <c r="D106" s="13">
        <v>39</v>
      </c>
      <c r="E106" s="13">
        <v>38</v>
      </c>
      <c r="F106" s="13">
        <v>37</v>
      </c>
      <c r="G106" s="13"/>
      <c r="H106" s="53">
        <v>18</v>
      </c>
      <c r="I106" s="13"/>
      <c r="J106" s="13"/>
      <c r="K106" s="13"/>
      <c r="L106" s="13"/>
      <c r="M106" s="13"/>
      <c r="N106" s="13"/>
      <c r="O106" s="53">
        <v>18</v>
      </c>
      <c r="P106" s="13"/>
      <c r="Q106" s="13"/>
      <c r="R106" s="13"/>
      <c r="S106" s="13"/>
      <c r="T106" s="13"/>
      <c r="U106" s="13"/>
      <c r="V106" s="53">
        <v>18</v>
      </c>
      <c r="W106" s="13"/>
      <c r="X106" s="13">
        <v>34</v>
      </c>
      <c r="Y106" s="13">
        <v>34</v>
      </c>
      <c r="Z106" s="13">
        <v>33</v>
      </c>
      <c r="AA106" s="13">
        <v>30</v>
      </c>
      <c r="AB106" s="13"/>
      <c r="AC106" s="53">
        <v>18</v>
      </c>
      <c r="AD106" s="13"/>
      <c r="AE106" s="13"/>
      <c r="AF106" s="13"/>
      <c r="AG106" s="13"/>
      <c r="AH106" s="13"/>
      <c r="AI106" s="13"/>
      <c r="AJ106" s="53">
        <v>18</v>
      </c>
      <c r="AK106" s="13"/>
      <c r="AL106" s="13">
        <v>68</v>
      </c>
      <c r="AM106" s="13">
        <v>65</v>
      </c>
      <c r="AN106" s="13">
        <v>64</v>
      </c>
      <c r="AO106" s="13">
        <v>53</v>
      </c>
      <c r="AP106" s="13"/>
      <c r="AQ106" s="53">
        <v>18</v>
      </c>
      <c r="AR106" s="13"/>
      <c r="AS106" s="13"/>
      <c r="AT106" s="13"/>
      <c r="AU106" s="13"/>
      <c r="AV106" s="13"/>
      <c r="AW106" s="13"/>
      <c r="AX106" s="53">
        <v>18</v>
      </c>
      <c r="AY106" s="13"/>
      <c r="AZ106" s="13"/>
      <c r="BA106" s="13"/>
      <c r="BB106" s="13"/>
      <c r="BC106" s="13"/>
    </row>
    <row r="107" spans="1:79" x14ac:dyDescent="0.2">
      <c r="A107" s="53">
        <v>19</v>
      </c>
      <c r="B107" s="13"/>
      <c r="C107" s="13">
        <v>40</v>
      </c>
      <c r="D107" s="13">
        <v>40</v>
      </c>
      <c r="E107" s="13">
        <v>40</v>
      </c>
      <c r="F107" s="13">
        <v>39</v>
      </c>
      <c r="G107" s="13"/>
      <c r="H107" s="53">
        <v>19</v>
      </c>
      <c r="I107" s="13"/>
      <c r="J107" s="13"/>
      <c r="K107" s="13"/>
      <c r="L107" s="13"/>
      <c r="M107" s="13"/>
      <c r="N107" s="13"/>
      <c r="O107" s="53">
        <v>19</v>
      </c>
      <c r="P107" s="13"/>
      <c r="Q107" s="13"/>
      <c r="R107" s="13"/>
      <c r="S107" s="13"/>
      <c r="T107" s="13"/>
      <c r="U107" s="13"/>
      <c r="V107" s="53">
        <v>19</v>
      </c>
      <c r="W107" s="13"/>
      <c r="X107" s="13">
        <v>35</v>
      </c>
      <c r="Y107" s="13">
        <v>35</v>
      </c>
      <c r="Z107" s="13">
        <v>34</v>
      </c>
      <c r="AA107" s="13">
        <v>33</v>
      </c>
      <c r="AB107" s="13"/>
      <c r="AC107" s="53">
        <v>19</v>
      </c>
      <c r="AD107" s="13"/>
      <c r="AE107" s="13"/>
      <c r="AF107" s="13"/>
      <c r="AG107" s="13"/>
      <c r="AH107" s="13"/>
      <c r="AI107" s="13"/>
      <c r="AJ107" s="53">
        <v>19</v>
      </c>
      <c r="AK107" s="13"/>
      <c r="AL107" s="13">
        <v>72</v>
      </c>
      <c r="AM107" s="13">
        <v>69</v>
      </c>
      <c r="AN107" s="13">
        <v>67</v>
      </c>
      <c r="AO107" s="13">
        <v>58</v>
      </c>
      <c r="AP107" s="13"/>
      <c r="AQ107" s="53">
        <v>19</v>
      </c>
      <c r="AR107" s="13"/>
      <c r="AS107" s="13"/>
      <c r="AT107" s="13"/>
      <c r="AU107" s="13"/>
      <c r="AV107" s="13"/>
      <c r="AW107" s="13"/>
      <c r="AX107" s="53">
        <v>19</v>
      </c>
      <c r="AY107" s="13"/>
      <c r="AZ107" s="13"/>
      <c r="BA107" s="13"/>
      <c r="BB107" s="13"/>
      <c r="BC107" s="13"/>
    </row>
    <row r="108" spans="1:79" x14ac:dyDescent="0.2">
      <c r="B108" s="13"/>
      <c r="C108" s="13"/>
      <c r="D108" s="13"/>
      <c r="E108" s="13"/>
      <c r="F108" s="13"/>
      <c r="G108" s="13"/>
      <c r="H108" s="53"/>
      <c r="I108" s="13"/>
      <c r="J108" s="13"/>
      <c r="K108" s="13"/>
      <c r="L108" s="13"/>
      <c r="M108" s="13"/>
      <c r="N108" s="13"/>
      <c r="O108" s="53"/>
      <c r="P108" s="13"/>
      <c r="Q108" s="13"/>
      <c r="R108" s="13"/>
      <c r="S108" s="13"/>
      <c r="T108" s="13"/>
      <c r="U108" s="13"/>
      <c r="V108" s="53"/>
      <c r="W108" s="13"/>
      <c r="X108" s="13"/>
      <c r="Y108" s="13"/>
      <c r="Z108" s="13"/>
      <c r="AA108" s="13"/>
      <c r="AB108" s="13"/>
      <c r="AC108" s="53"/>
      <c r="AD108" s="13"/>
      <c r="AE108" s="13"/>
      <c r="AF108" s="13"/>
      <c r="AG108" s="13"/>
      <c r="AH108" s="13"/>
      <c r="AI108" s="13"/>
      <c r="AJ108" s="53"/>
      <c r="AK108" s="13"/>
      <c r="AL108" s="13"/>
      <c r="AM108" s="13"/>
      <c r="AN108" s="13"/>
      <c r="AO108" s="13"/>
      <c r="AP108" s="13"/>
      <c r="AQ108" s="53"/>
      <c r="AR108" s="13"/>
      <c r="AS108" s="13"/>
      <c r="AT108" s="13"/>
      <c r="AU108" s="13"/>
      <c r="AV108" s="13"/>
      <c r="AW108" s="13"/>
      <c r="AX108" s="53"/>
      <c r="AY108" s="13"/>
      <c r="AZ108" s="13"/>
      <c r="BA108" s="13"/>
      <c r="BB108" s="13"/>
      <c r="BC108" s="13"/>
    </row>
    <row r="112" spans="1:79" x14ac:dyDescent="0.2">
      <c r="A112" s="13" t="s">
        <v>0</v>
      </c>
      <c r="B112" t="str">
        <f>$C$1</f>
        <v>60-69</v>
      </c>
      <c r="H112" s="13" t="s">
        <v>0</v>
      </c>
      <c r="I112" t="str">
        <f>$C$1</f>
        <v>60-69</v>
      </c>
      <c r="O112" s="13" t="s">
        <v>0</v>
      </c>
      <c r="P112" t="str">
        <f>$C$1</f>
        <v>60-69</v>
      </c>
      <c r="V112" s="13" t="s">
        <v>0</v>
      </c>
      <c r="W112" t="str">
        <f>$C$1</f>
        <v>60-69</v>
      </c>
      <c r="AC112" s="13" t="s">
        <v>0</v>
      </c>
      <c r="AD112" t="str">
        <f>$C$1</f>
        <v>60-69</v>
      </c>
      <c r="AJ112" s="13" t="s">
        <v>0</v>
      </c>
      <c r="AK112" t="str">
        <f>$C$1</f>
        <v>60-69</v>
      </c>
      <c r="AQ112" s="13" t="s">
        <v>0</v>
      </c>
      <c r="AR112" t="str">
        <f>$C$1</f>
        <v>60-69</v>
      </c>
      <c r="AX112" s="13" t="s">
        <v>0</v>
      </c>
      <c r="AY112" t="str">
        <f>$C$1</f>
        <v>60-69</v>
      </c>
      <c r="BE112" s="13" t="s">
        <v>0</v>
      </c>
      <c r="BF112" t="str">
        <f>$C$1</f>
        <v>60-69</v>
      </c>
      <c r="BL112" s="13" t="s">
        <v>0</v>
      </c>
      <c r="BM112" t="str">
        <f>$C$1</f>
        <v>60-69</v>
      </c>
      <c r="BS112" s="13" t="s">
        <v>0</v>
      </c>
      <c r="BT112" t="str">
        <f>$C$1</f>
        <v>60-69</v>
      </c>
      <c r="BZ112" s="13" t="s">
        <v>0</v>
      </c>
      <c r="CA112" t="str">
        <f>$C$1</f>
        <v>60-69</v>
      </c>
    </row>
    <row r="113" spans="1:79" x14ac:dyDescent="0.2">
      <c r="A113" s="13" t="s">
        <v>124</v>
      </c>
      <c r="B113">
        <f>'Standard Tests'!B10</f>
        <v>30</v>
      </c>
      <c r="H113" s="13" t="s">
        <v>124</v>
      </c>
      <c r="I113">
        <f>'Standard Tests'!B11</f>
        <v>17</v>
      </c>
      <c r="O113" s="13" t="s">
        <v>124</v>
      </c>
      <c r="P113">
        <f>'Standard Tests'!B12</f>
        <v>0</v>
      </c>
      <c r="V113" s="13" t="s">
        <v>124</v>
      </c>
      <c r="W113">
        <f>'Standard Tests'!B15</f>
        <v>16</v>
      </c>
      <c r="AC113" s="13" t="s">
        <v>124</v>
      </c>
      <c r="AD113">
        <f>'Standard Tests'!B16</f>
        <v>4</v>
      </c>
      <c r="AJ113" s="13" t="s">
        <v>124</v>
      </c>
      <c r="AK113">
        <f>'Standard Tests'!B17</f>
        <v>38</v>
      </c>
      <c r="AQ113" s="13" t="s">
        <v>124</v>
      </c>
      <c r="AR113">
        <f>'Standard Tests'!B20</f>
        <v>8</v>
      </c>
      <c r="AX113" s="13" t="s">
        <v>124</v>
      </c>
      <c r="AY113">
        <f>'Standard Tests'!B21</f>
        <v>10</v>
      </c>
      <c r="BE113" s="13" t="s">
        <v>124</v>
      </c>
      <c r="BF113">
        <f>'Standard Tests'!B13</f>
        <v>0</v>
      </c>
      <c r="BL113" s="13" t="s">
        <v>124</v>
      </c>
      <c r="BM113">
        <f>'Standard Tests'!B14</f>
        <v>0</v>
      </c>
      <c r="BS113" s="13" t="s">
        <v>124</v>
      </c>
      <c r="BT113">
        <f>'Standard Tests'!B18</f>
        <v>5</v>
      </c>
      <c r="BZ113" s="13" t="s">
        <v>124</v>
      </c>
      <c r="CA113">
        <f>'Standard Tests'!B19</f>
        <v>15</v>
      </c>
    </row>
    <row r="114" spans="1:79" x14ac:dyDescent="0.2">
      <c r="A114" s="13" t="s">
        <v>405</v>
      </c>
      <c r="B114">
        <f>IF(B112="40-49",LOOKUP(B113,B89:B108,A89:A108),IF(B112="50-59",LOOKUP(B113,C89:C108,A89:A108),IF(B112="60-69",LOOKUP(B113,D89:D108,A89:A108),IF(B112="70-79",LOOKUP(B113,E89:E108,A89:A108),IF(B112="80-89",LOOKUP(B113,F89:F108,A89:A108),"ErroR")))))</f>
        <v>12</v>
      </c>
      <c r="H114" s="13" t="s">
        <v>405</v>
      </c>
      <c r="I114">
        <f>IF(I112="40-49",LOOKUP(I113,I89:I108,H89:H108),IF(I112="50-59",LOOKUP(I113,J89:J108,H89:H108),IF(I112="60-69",LOOKUP(I113,K89:K108,H89:H108),IF(I112="70-79",LOOKUP(I113,L89:L108,H89:H108),IF(I112="80-89",LOOKUP(I113,M89:M108,H89:H108),"ErroR")))))</f>
        <v>9</v>
      </c>
      <c r="O114" s="13" t="s">
        <v>405</v>
      </c>
      <c r="P114">
        <f>IF(P112="40-49",LOOKUP(P113,P89:P108,O89:O108),IF(P112="50-59",LOOKUP(P113,Q89:Q108,O89:O108),IF(P112="60-69",LOOKUP(P113,R89:R108,O89:O108),IF(P112="70-79",LOOKUP(P113,S89:S108,O89:O108),IF(P112="80-89",LOOKUP(P113,T89:T108,O89:O108),"ErroR")))))</f>
        <v>1</v>
      </c>
      <c r="V114" s="13" t="s">
        <v>405</v>
      </c>
      <c r="W114">
        <f>IF(W112="40-49",LOOKUP(W113,W89:W108,V89:V108),IF(W112="50-59",LOOKUP(W113,X89:X108,V89:V108),IF(W112="60-69",LOOKUP(W113,Y89:Y108,V89:V108),IF(W112="70-79",LOOKUP(W113,Z89:Z108,V89:V108),IF(W112="80-89",LOOKUP(W113,AA89:AA108,V89:V108),"ErroR")))))</f>
        <v>7</v>
      </c>
      <c r="AC114" s="13" t="s">
        <v>405</v>
      </c>
      <c r="AD114">
        <f>IF(AD112="40-49",LOOKUP(AD113,AD89:AD108,AC89:AC108),IF(AD112="50-59",LOOKUP(AD113,AE89:AE108,AC89:AC108),IF(AD112="60-69",LOOKUP(AD113,AF89:AF108,AC89:AC108),IF(AD112="70-79",LOOKUP(AD113,AG89:AG108,AC89:AC108),IF(AD112="80-89",LOOKUP(AD113,AH89:AH108,AC89:AC108),"ErroR")))))</f>
        <v>2</v>
      </c>
      <c r="AJ114" s="13" t="s">
        <v>405</v>
      </c>
      <c r="AK114">
        <f>IF(AK112="40-49",LOOKUP(AK113,AK89:AK108,AJ89:AJ108),IF(AK112="50-59",LOOKUP(AK113,AL89:AL108,AJ89:AJ108),IF(AK112="60-69",LOOKUP(AK113,AM89:AM108,AJ89:AJ108),IF(AK112="70-79",LOOKUP(AK113,AN89:AN108,AJ89:AJ108),IF(AK112="80-89",LOOKUP(AK113,AO89:AO108,AJ89:AJ108),"ErroR")))))</f>
        <v>7</v>
      </c>
      <c r="AQ114" s="13" t="s">
        <v>405</v>
      </c>
      <c r="AR114">
        <f>IF(AR112="40-49",LOOKUP(AR113,AR89:AR108,AQ89:AQ108),IF(AR112="50-59",LOOKUP(AR113,AS89:AS108,AQ89:AQ108),IF(AR112="60-69",LOOKUP(AR113,AT89:AT108,AQ89:AQ108),IF(AR112="70-79",LOOKUP(AR113,AU89:AU108,AQ89:AQ108),IF(AR112="80-89",LOOKUP(AR113,AV89:AV108,AQ89:AQ108),"ErroR")))))</f>
        <v>9</v>
      </c>
      <c r="AX114" s="13" t="s">
        <v>405</v>
      </c>
      <c r="AY114">
        <f>IF(AY112="40-49",LOOKUP(AY113,AY89:AY108,AX89:AX108),IF(AY112="50-59",LOOKUP(AY113,AZ89:AZ108,AX89:AX108),IF(AY112="60-69",LOOKUP(AY113,BA89:BA108,AX89:AX108),IF(AY112="70-79",LOOKUP(AY113,BB89:BB108,AX89:AX108),IF(AY112="80-89",LOOKUP(AY113,BC89:BC108,AX89:AX108),"ErroR")))))</f>
        <v>8</v>
      </c>
      <c r="BE114" s="13" t="s">
        <v>405</v>
      </c>
      <c r="BF114" t="str">
        <f>IF(BF112="40-49",LOOKUP(BF113,BF89:BF96,BE89:BE96),IF(BF112="50-59",LOOKUP(BF113,BG89:BG96,BE89:BE96),IF(BF112="60-69",LOOKUP(BF113,BH89:BH96,BE89:BE96),IF(BF112="70-79",LOOKUP(BF113,BI89:BI96,BE89:BE96),IF(BF112="80-89",LOOKUP(BF113,BJ89:BJ96,BE89:BE96),"ErroR")))))</f>
        <v>≤2nd%</v>
      </c>
      <c r="BL114" s="13" t="s">
        <v>405</v>
      </c>
      <c r="BM114" t="str">
        <f>IF(BM112="40-49",LOOKUP(BM113,BM89:BM96,BL89:BL96),IF(BM112="50-59",LOOKUP(BM113,BN89:BN96,BL89:BL96),IF(BM112="60-69",LOOKUP(BM113,BO89:BO96,BL89:BL96),IF(BM112="70-79",LOOKUP(BM113,BP89:BP96,BL89:BL96),IF(BM112="80-89",LOOKUP(BM113,BQ89:BQ96,BL89:BL96),"ErroR")))))</f>
        <v>≤2nd%</v>
      </c>
      <c r="BS114" s="13" t="s">
        <v>405</v>
      </c>
      <c r="BT114" t="str">
        <f>IF(BT112="40-49",LOOKUP(BT113,BT89:BT96,BS89:BS96),IF(BT112="50-59",LOOKUP(BT113,BU89:BU96,BS89:BS96),IF(BT112="60-69",LOOKUP(BT113,BV89:BV96,BS89:BS96),IF(BT112="70-79",LOOKUP(BT113,BW89:BW96,BS89:BS96),IF(BT112="80-89",LOOKUP(BT113,BX89:BX96,BS89:BS96),"ErroR")))))</f>
        <v>26th-50th%</v>
      </c>
      <c r="BZ114" s="13" t="s">
        <v>405</v>
      </c>
      <c r="CA114" t="str">
        <f>IF(CA112="40-49",LOOKUP(CA113,CA89:CA96,BZ89:BZ96),IF(CA112="50-59",LOOKUP(CA113,CB89:CB96,BZ89:BZ96),IF(CA112="60-69",LOOKUP(CA113,CC89:CC96,BZ89:BZ96),IF(CA112="70-79",LOOKUP(CA113,CD89:CD96,BZ89:BZ96),IF(CA112="80-89",LOOKUP(CA113,CE89:CE96,BZ89:BZ96),"ErroR")))))</f>
        <v>≤2nd%</v>
      </c>
    </row>
    <row r="118" spans="1:79" x14ac:dyDescent="0.2">
      <c r="B118">
        <f>'Standard Tests'!B10</f>
        <v>30</v>
      </c>
    </row>
  </sheetData>
  <sortState xmlns:xlrd2="http://schemas.microsoft.com/office/spreadsheetml/2017/richdata2" ref="BF3:BK21">
    <sortCondition descending="1" ref="BF3:BF21"/>
  </sortState>
  <dataValidations disablePrompts="1" count="1">
    <dataValidation type="list" allowBlank="1" showInputMessage="1" showErrorMessage="1" sqref="AB32 AI32 AW32 AP32 BD32" xr:uid="{F33D786D-9CD2-46BF-95BC-81B658914427}">
      <formula1>$AE$2:$AI$2</formula1>
    </dataValidation>
  </dataValidations>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A437B-6731-45F2-8BA4-3176D0ACDC41}">
  <sheetPr>
    <tabColor rgb="FFC00000"/>
  </sheetPr>
  <dimension ref="A6:EH412"/>
  <sheetViews>
    <sheetView topLeftCell="A92" zoomScale="85" zoomScaleNormal="85" workbookViewId="0">
      <selection activeCell="AK450" sqref="AJ450:AK450"/>
    </sheetView>
  </sheetViews>
  <sheetFormatPr baseColWidth="10" defaultColWidth="9.1640625" defaultRowHeight="12" x14ac:dyDescent="0.15"/>
  <cols>
    <col min="1" max="1" width="9.1640625" style="377"/>
    <col min="2" max="26" width="5.33203125" style="377" customWidth="1"/>
    <col min="27" max="29" width="9.1640625" style="377"/>
    <col min="30" max="54" width="5.5" style="377" customWidth="1"/>
    <col min="55" max="57" width="9.1640625" style="377"/>
    <col min="58" max="82" width="5.5" style="377" customWidth="1"/>
    <col min="83" max="85" width="9.1640625" style="377"/>
    <col min="86" max="110" width="5.5" style="377" customWidth="1"/>
    <col min="111" max="113" width="9.1640625" style="377"/>
    <col min="114" max="138" width="5.5" style="377" customWidth="1"/>
    <col min="139" max="16384" width="9.1640625" style="377"/>
  </cols>
  <sheetData>
    <row r="6" spans="1:138" x14ac:dyDescent="0.15">
      <c r="A6" s="376" t="s">
        <v>263</v>
      </c>
      <c r="AC6" s="376" t="s">
        <v>264</v>
      </c>
      <c r="BE6" s="376" t="s">
        <v>265</v>
      </c>
      <c r="CG6" s="376" t="s">
        <v>266</v>
      </c>
      <c r="DI6" s="376" t="s">
        <v>267</v>
      </c>
    </row>
    <row r="7" spans="1:138" x14ac:dyDescent="0.15">
      <c r="B7" s="376" t="s">
        <v>413</v>
      </c>
      <c r="AC7" s="376"/>
      <c r="AD7" s="376" t="s">
        <v>413</v>
      </c>
      <c r="BF7" s="376" t="s">
        <v>413</v>
      </c>
      <c r="CH7" s="376" t="s">
        <v>413</v>
      </c>
      <c r="DJ7" s="376" t="s">
        <v>413</v>
      </c>
    </row>
    <row r="8" spans="1:138" ht="16.5" customHeight="1" x14ac:dyDescent="0.15">
      <c r="A8" s="378" t="s">
        <v>412</v>
      </c>
      <c r="B8" s="379">
        <v>0</v>
      </c>
      <c r="C8" s="380">
        <v>1</v>
      </c>
      <c r="D8" s="380">
        <v>2</v>
      </c>
      <c r="E8" s="380">
        <v>3</v>
      </c>
      <c r="F8" s="380">
        <v>4</v>
      </c>
      <c r="G8" s="380">
        <v>5</v>
      </c>
      <c r="H8" s="380">
        <v>6</v>
      </c>
      <c r="I8" s="380">
        <v>7</v>
      </c>
      <c r="J8" s="380">
        <v>8</v>
      </c>
      <c r="K8" s="380">
        <v>9</v>
      </c>
      <c r="L8" s="398">
        <v>10</v>
      </c>
      <c r="M8" s="398">
        <v>11</v>
      </c>
      <c r="N8" s="398">
        <v>12</v>
      </c>
      <c r="O8" s="398">
        <v>13</v>
      </c>
      <c r="P8" s="398">
        <v>14</v>
      </c>
      <c r="Q8" s="380">
        <v>15</v>
      </c>
      <c r="R8" s="380">
        <v>16</v>
      </c>
      <c r="S8" s="380">
        <v>17</v>
      </c>
      <c r="T8" s="380">
        <v>18</v>
      </c>
      <c r="U8" s="380">
        <v>19</v>
      </c>
      <c r="V8" s="380">
        <v>20</v>
      </c>
      <c r="W8" s="380">
        <v>21</v>
      </c>
      <c r="X8" s="380">
        <v>22</v>
      </c>
      <c r="Y8" s="380">
        <v>23</v>
      </c>
      <c r="Z8" s="380">
        <v>24</v>
      </c>
      <c r="AC8" s="381" t="s">
        <v>412</v>
      </c>
      <c r="AD8" s="380">
        <v>0</v>
      </c>
      <c r="AE8" s="380">
        <v>1</v>
      </c>
      <c r="AF8" s="380">
        <v>2</v>
      </c>
      <c r="AG8" s="380">
        <v>3</v>
      </c>
      <c r="AH8" s="380">
        <v>4</v>
      </c>
      <c r="AI8" s="380">
        <v>5</v>
      </c>
      <c r="AJ8" s="380">
        <v>6</v>
      </c>
      <c r="AK8" s="380">
        <v>7</v>
      </c>
      <c r="AL8" s="380">
        <v>8</v>
      </c>
      <c r="AM8" s="380">
        <v>9</v>
      </c>
      <c r="AN8" s="380">
        <v>10</v>
      </c>
      <c r="AO8" s="380">
        <v>11</v>
      </c>
      <c r="AP8" s="380">
        <v>12</v>
      </c>
      <c r="AQ8" s="380">
        <v>13</v>
      </c>
      <c r="AR8" s="380">
        <v>14</v>
      </c>
      <c r="AS8" s="380">
        <v>15</v>
      </c>
      <c r="AT8" s="380">
        <v>16</v>
      </c>
      <c r="AU8" s="380">
        <v>17</v>
      </c>
      <c r="AV8" s="380">
        <v>18</v>
      </c>
      <c r="AW8" s="380">
        <v>19</v>
      </c>
      <c r="AX8" s="380">
        <v>20</v>
      </c>
      <c r="AY8" s="380">
        <v>21</v>
      </c>
      <c r="AZ8" s="380">
        <v>22</v>
      </c>
      <c r="BA8" s="380">
        <v>23</v>
      </c>
      <c r="BB8" s="380">
        <v>24</v>
      </c>
      <c r="BE8" s="381" t="s">
        <v>412</v>
      </c>
      <c r="BF8" s="380">
        <v>0</v>
      </c>
      <c r="BG8" s="380">
        <v>1</v>
      </c>
      <c r="BH8" s="380">
        <v>2</v>
      </c>
      <c r="BI8" s="380">
        <v>3</v>
      </c>
      <c r="BJ8" s="380">
        <v>4</v>
      </c>
      <c r="BK8" s="380">
        <v>5</v>
      </c>
      <c r="BL8" s="380">
        <v>6</v>
      </c>
      <c r="BM8" s="380">
        <v>7</v>
      </c>
      <c r="BN8" s="380">
        <v>8</v>
      </c>
      <c r="BO8" s="380">
        <v>9</v>
      </c>
      <c r="BP8" s="380">
        <v>10</v>
      </c>
      <c r="BQ8" s="380">
        <v>11</v>
      </c>
      <c r="BR8" s="380">
        <v>12</v>
      </c>
      <c r="BS8" s="380">
        <v>13</v>
      </c>
      <c r="BT8" s="380">
        <v>14</v>
      </c>
      <c r="BU8" s="380">
        <v>15</v>
      </c>
      <c r="BV8" s="380">
        <v>16</v>
      </c>
      <c r="BW8" s="380">
        <v>17</v>
      </c>
      <c r="BX8" s="380">
        <v>18</v>
      </c>
      <c r="BY8" s="380">
        <v>19</v>
      </c>
      <c r="BZ8" s="380">
        <v>20</v>
      </c>
      <c r="CA8" s="380">
        <v>21</v>
      </c>
      <c r="CB8" s="380">
        <v>22</v>
      </c>
      <c r="CC8" s="380">
        <v>23</v>
      </c>
      <c r="CD8" s="380">
        <v>24</v>
      </c>
      <c r="CG8" s="381" t="s">
        <v>412</v>
      </c>
      <c r="CH8" s="380">
        <v>0</v>
      </c>
      <c r="CI8" s="380">
        <v>1</v>
      </c>
      <c r="CJ8" s="380">
        <v>2</v>
      </c>
      <c r="CK8" s="380">
        <v>3</v>
      </c>
      <c r="CL8" s="380">
        <v>4</v>
      </c>
      <c r="CM8" s="380">
        <v>5</v>
      </c>
      <c r="CN8" s="380">
        <v>6</v>
      </c>
      <c r="CO8" s="380">
        <v>7</v>
      </c>
      <c r="CP8" s="380">
        <v>8</v>
      </c>
      <c r="CQ8" s="380">
        <v>9</v>
      </c>
      <c r="CR8" s="380">
        <v>10</v>
      </c>
      <c r="CS8" s="380">
        <v>11</v>
      </c>
      <c r="CT8" s="380">
        <v>12</v>
      </c>
      <c r="CU8" s="380">
        <v>13</v>
      </c>
      <c r="CV8" s="380">
        <v>14</v>
      </c>
      <c r="CW8" s="380">
        <v>15</v>
      </c>
      <c r="CX8" s="380">
        <v>16</v>
      </c>
      <c r="CY8" s="380">
        <v>17</v>
      </c>
      <c r="CZ8" s="380">
        <v>18</v>
      </c>
      <c r="DA8" s="380">
        <v>19</v>
      </c>
      <c r="DB8" s="380">
        <v>20</v>
      </c>
      <c r="DC8" s="380">
        <v>21</v>
      </c>
      <c r="DD8" s="380">
        <v>22</v>
      </c>
      <c r="DE8" s="380">
        <v>23</v>
      </c>
      <c r="DF8" s="380">
        <v>24</v>
      </c>
      <c r="DI8" s="381" t="s">
        <v>412</v>
      </c>
      <c r="DJ8" s="380">
        <v>0</v>
      </c>
      <c r="DK8" s="380">
        <v>1</v>
      </c>
      <c r="DL8" s="380">
        <v>2</v>
      </c>
      <c r="DM8" s="380">
        <v>3</v>
      </c>
      <c r="DN8" s="380">
        <v>4</v>
      </c>
      <c r="DO8" s="380">
        <v>5</v>
      </c>
      <c r="DP8" s="380">
        <v>6</v>
      </c>
      <c r="DQ8" s="380">
        <v>7</v>
      </c>
      <c r="DR8" s="380">
        <v>8</v>
      </c>
      <c r="DS8" s="380">
        <v>9</v>
      </c>
      <c r="DT8" s="380">
        <v>10</v>
      </c>
      <c r="DU8" s="380">
        <v>11</v>
      </c>
      <c r="DV8" s="380">
        <v>12</v>
      </c>
      <c r="DW8" s="380">
        <v>13</v>
      </c>
      <c r="DX8" s="380">
        <v>14</v>
      </c>
      <c r="DY8" s="380">
        <v>15</v>
      </c>
      <c r="DZ8" s="380">
        <v>16</v>
      </c>
      <c r="EA8" s="380">
        <v>17</v>
      </c>
      <c r="EB8" s="380">
        <v>18</v>
      </c>
      <c r="EC8" s="380">
        <v>19</v>
      </c>
      <c r="ED8" s="380">
        <v>20</v>
      </c>
      <c r="EE8" s="380">
        <v>21</v>
      </c>
      <c r="EF8" s="380">
        <v>22</v>
      </c>
      <c r="EG8" s="380">
        <v>23</v>
      </c>
      <c r="EH8" s="380">
        <v>24</v>
      </c>
    </row>
    <row r="9" spans="1:138" x14ac:dyDescent="0.15">
      <c r="A9" s="380">
        <v>0</v>
      </c>
      <c r="B9" s="382">
        <v>40</v>
      </c>
      <c r="C9" s="383">
        <v>40</v>
      </c>
      <c r="D9" s="383">
        <v>40</v>
      </c>
      <c r="E9" s="383">
        <v>40</v>
      </c>
      <c r="F9" s="383">
        <v>40</v>
      </c>
      <c r="G9" s="383">
        <v>40</v>
      </c>
      <c r="H9" s="383">
        <v>44</v>
      </c>
      <c r="I9" s="383">
        <v>44</v>
      </c>
      <c r="J9" s="383">
        <v>49</v>
      </c>
      <c r="K9" s="383">
        <v>49</v>
      </c>
      <c r="L9" s="383">
        <v>53</v>
      </c>
      <c r="M9" s="383">
        <v>53</v>
      </c>
      <c r="N9" s="383">
        <v>57</v>
      </c>
      <c r="O9" s="383">
        <v>61</v>
      </c>
      <c r="P9" s="383">
        <v>61</v>
      </c>
      <c r="Q9" s="383">
        <v>69</v>
      </c>
      <c r="R9" s="383">
        <v>73</v>
      </c>
      <c r="S9" s="383">
        <v>78</v>
      </c>
      <c r="T9" s="383">
        <v>78</v>
      </c>
      <c r="U9" s="383">
        <v>78</v>
      </c>
      <c r="V9" s="383">
        <v>78</v>
      </c>
      <c r="W9" s="383">
        <v>78</v>
      </c>
      <c r="X9" s="383">
        <v>83</v>
      </c>
      <c r="Y9" s="383">
        <v>87</v>
      </c>
      <c r="Z9" s="383">
        <v>94</v>
      </c>
      <c r="AC9" s="380">
        <v>0</v>
      </c>
      <c r="AD9" s="384">
        <v>40</v>
      </c>
      <c r="AE9" s="384">
        <v>40</v>
      </c>
      <c r="AF9" s="384">
        <v>40</v>
      </c>
      <c r="AG9" s="384">
        <v>40</v>
      </c>
      <c r="AH9" s="384">
        <v>40</v>
      </c>
      <c r="AI9" s="384">
        <v>44</v>
      </c>
      <c r="AJ9" s="384">
        <v>44</v>
      </c>
      <c r="AK9" s="384">
        <v>44</v>
      </c>
      <c r="AL9" s="384">
        <v>49</v>
      </c>
      <c r="AM9" s="384">
        <v>49</v>
      </c>
      <c r="AN9" s="384">
        <v>53</v>
      </c>
      <c r="AO9" s="384">
        <v>53</v>
      </c>
      <c r="AP9" s="384">
        <v>57</v>
      </c>
      <c r="AQ9" s="384">
        <v>61</v>
      </c>
      <c r="AR9" s="384">
        <v>61</v>
      </c>
      <c r="AS9" s="384">
        <v>69</v>
      </c>
      <c r="AT9" s="384">
        <v>73</v>
      </c>
      <c r="AU9" s="384">
        <v>78</v>
      </c>
      <c r="AV9" s="384">
        <v>78</v>
      </c>
      <c r="AW9" s="384">
        <v>78</v>
      </c>
      <c r="AX9" s="384">
        <v>78</v>
      </c>
      <c r="AY9" s="384">
        <v>78</v>
      </c>
      <c r="AZ9" s="384">
        <v>83</v>
      </c>
      <c r="BA9" s="384">
        <v>87</v>
      </c>
      <c r="BB9" s="384">
        <v>94</v>
      </c>
      <c r="BE9" s="380">
        <v>0</v>
      </c>
      <c r="BF9" s="384">
        <v>40</v>
      </c>
      <c r="BG9" s="384">
        <v>40</v>
      </c>
      <c r="BH9" s="384">
        <v>40</v>
      </c>
      <c r="BI9" s="384">
        <v>40</v>
      </c>
      <c r="BJ9" s="384">
        <v>40</v>
      </c>
      <c r="BK9" s="384">
        <v>44</v>
      </c>
      <c r="BL9" s="384">
        <v>44</v>
      </c>
      <c r="BM9" s="384">
        <v>44</v>
      </c>
      <c r="BN9" s="384">
        <v>49</v>
      </c>
      <c r="BO9" s="384">
        <v>49</v>
      </c>
      <c r="BP9" s="384">
        <v>53</v>
      </c>
      <c r="BQ9" s="384">
        <v>53</v>
      </c>
      <c r="BR9" s="384">
        <v>57</v>
      </c>
      <c r="BS9" s="384">
        <v>61</v>
      </c>
      <c r="BT9" s="384">
        <v>61</v>
      </c>
      <c r="BU9" s="384">
        <v>69</v>
      </c>
      <c r="BV9" s="384">
        <v>73</v>
      </c>
      <c r="BW9" s="384">
        <v>78</v>
      </c>
      <c r="BX9" s="384">
        <v>78</v>
      </c>
      <c r="BY9" s="384">
        <v>78</v>
      </c>
      <c r="BZ9" s="384">
        <v>78</v>
      </c>
      <c r="CA9" s="384">
        <v>78</v>
      </c>
      <c r="CB9" s="384">
        <v>83</v>
      </c>
      <c r="CC9" s="384">
        <v>87</v>
      </c>
      <c r="CD9" s="384">
        <v>94</v>
      </c>
      <c r="CG9" s="380">
        <v>0</v>
      </c>
      <c r="CH9" s="384">
        <v>40</v>
      </c>
      <c r="CI9" s="384">
        <v>40</v>
      </c>
      <c r="CJ9" s="384">
        <v>40</v>
      </c>
      <c r="CK9" s="384">
        <v>40</v>
      </c>
      <c r="CL9" s="384">
        <v>44</v>
      </c>
      <c r="CM9" s="384">
        <v>49</v>
      </c>
      <c r="CN9" s="384">
        <v>49</v>
      </c>
      <c r="CO9" s="384">
        <v>49</v>
      </c>
      <c r="CP9" s="384">
        <v>53</v>
      </c>
      <c r="CQ9" s="384">
        <v>53</v>
      </c>
      <c r="CR9" s="384">
        <v>57</v>
      </c>
      <c r="CS9" s="384">
        <v>57</v>
      </c>
      <c r="CT9" s="384">
        <v>61</v>
      </c>
      <c r="CU9" s="384">
        <v>65</v>
      </c>
      <c r="CV9" s="384">
        <v>69</v>
      </c>
      <c r="CW9" s="384">
        <v>73</v>
      </c>
      <c r="CX9" s="384">
        <v>73</v>
      </c>
      <c r="CY9" s="384">
        <v>78</v>
      </c>
      <c r="CZ9" s="384">
        <v>78</v>
      </c>
      <c r="DA9" s="384">
        <v>78</v>
      </c>
      <c r="DB9" s="384">
        <v>81</v>
      </c>
      <c r="DC9" s="384">
        <v>83</v>
      </c>
      <c r="DD9" s="384">
        <v>87</v>
      </c>
      <c r="DE9" s="384">
        <v>90</v>
      </c>
      <c r="DF9" s="384">
        <v>94</v>
      </c>
      <c r="DI9" s="380">
        <v>0</v>
      </c>
      <c r="DJ9" s="384">
        <v>40</v>
      </c>
      <c r="DK9" s="384">
        <v>40</v>
      </c>
      <c r="DL9" s="384">
        <v>44</v>
      </c>
      <c r="DM9" s="384">
        <v>44</v>
      </c>
      <c r="DN9" s="384">
        <v>49</v>
      </c>
      <c r="DO9" s="384">
        <v>49</v>
      </c>
      <c r="DP9" s="384">
        <v>49</v>
      </c>
      <c r="DQ9" s="384">
        <v>53</v>
      </c>
      <c r="DR9" s="384">
        <v>53</v>
      </c>
      <c r="DS9" s="384">
        <v>57</v>
      </c>
      <c r="DT9" s="384">
        <v>57</v>
      </c>
      <c r="DU9" s="384">
        <v>61</v>
      </c>
      <c r="DV9" s="384">
        <v>69</v>
      </c>
      <c r="DW9" s="384">
        <v>73</v>
      </c>
      <c r="DX9" s="384">
        <v>73</v>
      </c>
      <c r="DY9" s="384">
        <v>76</v>
      </c>
      <c r="DZ9" s="384">
        <v>76</v>
      </c>
      <c r="EA9" s="384">
        <v>78</v>
      </c>
      <c r="EB9" s="384">
        <v>81</v>
      </c>
      <c r="EC9" s="384">
        <v>83</v>
      </c>
      <c r="ED9" s="384">
        <v>83</v>
      </c>
      <c r="EE9" s="384">
        <v>85</v>
      </c>
      <c r="EF9" s="384">
        <v>87</v>
      </c>
      <c r="EG9" s="384">
        <v>90</v>
      </c>
      <c r="EH9" s="384">
        <v>94</v>
      </c>
    </row>
    <row r="10" spans="1:138" x14ac:dyDescent="0.15">
      <c r="A10" s="380">
        <v>1</v>
      </c>
      <c r="B10" s="385">
        <v>40</v>
      </c>
      <c r="C10" s="384">
        <v>40</v>
      </c>
      <c r="D10" s="384">
        <v>40</v>
      </c>
      <c r="E10" s="384">
        <v>40</v>
      </c>
      <c r="F10" s="384">
        <v>40</v>
      </c>
      <c r="G10" s="384">
        <v>40</v>
      </c>
      <c r="H10" s="384">
        <v>44</v>
      </c>
      <c r="I10" s="384">
        <v>44</v>
      </c>
      <c r="J10" s="384">
        <v>49</v>
      </c>
      <c r="K10" s="384">
        <v>49</v>
      </c>
      <c r="L10" s="384">
        <v>53</v>
      </c>
      <c r="M10" s="384">
        <v>53</v>
      </c>
      <c r="N10" s="384">
        <v>57</v>
      </c>
      <c r="O10" s="384">
        <v>61</v>
      </c>
      <c r="P10" s="384">
        <v>61</v>
      </c>
      <c r="Q10" s="384">
        <v>69</v>
      </c>
      <c r="R10" s="384">
        <v>73</v>
      </c>
      <c r="S10" s="384">
        <v>78</v>
      </c>
      <c r="T10" s="384">
        <v>78</v>
      </c>
      <c r="U10" s="384">
        <v>78</v>
      </c>
      <c r="V10" s="384">
        <v>78</v>
      </c>
      <c r="W10" s="384">
        <v>78</v>
      </c>
      <c r="X10" s="384">
        <v>83</v>
      </c>
      <c r="Y10" s="384">
        <v>87</v>
      </c>
      <c r="Z10" s="384">
        <v>94</v>
      </c>
      <c r="AC10" s="380">
        <v>1</v>
      </c>
      <c r="AD10" s="384">
        <v>40</v>
      </c>
      <c r="AE10" s="384">
        <v>40</v>
      </c>
      <c r="AF10" s="384">
        <v>40</v>
      </c>
      <c r="AG10" s="384">
        <v>40</v>
      </c>
      <c r="AH10" s="384">
        <v>40</v>
      </c>
      <c r="AI10" s="384">
        <v>44</v>
      </c>
      <c r="AJ10" s="384">
        <v>44</v>
      </c>
      <c r="AK10" s="384">
        <v>44</v>
      </c>
      <c r="AL10" s="384">
        <v>49</v>
      </c>
      <c r="AM10" s="384">
        <v>49</v>
      </c>
      <c r="AN10" s="384">
        <v>53</v>
      </c>
      <c r="AO10" s="384">
        <v>53</v>
      </c>
      <c r="AP10" s="384">
        <v>57</v>
      </c>
      <c r="AQ10" s="384">
        <v>61</v>
      </c>
      <c r="AR10" s="384">
        <v>61</v>
      </c>
      <c r="AS10" s="384">
        <v>69</v>
      </c>
      <c r="AT10" s="384">
        <v>73</v>
      </c>
      <c r="AU10" s="384">
        <v>78</v>
      </c>
      <c r="AV10" s="384">
        <v>78</v>
      </c>
      <c r="AW10" s="384">
        <v>78</v>
      </c>
      <c r="AX10" s="384">
        <v>78</v>
      </c>
      <c r="AY10" s="384">
        <v>78</v>
      </c>
      <c r="AZ10" s="384">
        <v>83</v>
      </c>
      <c r="BA10" s="384">
        <v>87</v>
      </c>
      <c r="BB10" s="384">
        <v>94</v>
      </c>
      <c r="BE10" s="380">
        <v>1</v>
      </c>
      <c r="BF10" s="384">
        <v>40</v>
      </c>
      <c r="BG10" s="384">
        <v>40</v>
      </c>
      <c r="BH10" s="384">
        <v>40</v>
      </c>
      <c r="BI10" s="384">
        <v>40</v>
      </c>
      <c r="BJ10" s="384">
        <v>40</v>
      </c>
      <c r="BK10" s="384">
        <v>44</v>
      </c>
      <c r="BL10" s="384">
        <v>44</v>
      </c>
      <c r="BM10" s="384">
        <v>44</v>
      </c>
      <c r="BN10" s="384">
        <v>49</v>
      </c>
      <c r="BO10" s="384">
        <v>49</v>
      </c>
      <c r="BP10" s="384">
        <v>53</v>
      </c>
      <c r="BQ10" s="384">
        <v>53</v>
      </c>
      <c r="BR10" s="384">
        <v>57</v>
      </c>
      <c r="BS10" s="384">
        <v>61</v>
      </c>
      <c r="BT10" s="384">
        <v>61</v>
      </c>
      <c r="BU10" s="384">
        <v>69</v>
      </c>
      <c r="BV10" s="384">
        <v>73</v>
      </c>
      <c r="BW10" s="384">
        <v>78</v>
      </c>
      <c r="BX10" s="384">
        <v>78</v>
      </c>
      <c r="BY10" s="384">
        <v>78</v>
      </c>
      <c r="BZ10" s="384">
        <v>78</v>
      </c>
      <c r="CA10" s="384">
        <v>78</v>
      </c>
      <c r="CB10" s="384">
        <v>83</v>
      </c>
      <c r="CC10" s="384">
        <v>87</v>
      </c>
      <c r="CD10" s="384">
        <v>94</v>
      </c>
      <c r="CG10" s="380">
        <v>1</v>
      </c>
      <c r="CH10" s="384">
        <v>40</v>
      </c>
      <c r="CI10" s="384">
        <v>40</v>
      </c>
      <c r="CJ10" s="384">
        <v>40</v>
      </c>
      <c r="CK10" s="384">
        <v>40</v>
      </c>
      <c r="CL10" s="384">
        <v>44</v>
      </c>
      <c r="CM10" s="384">
        <v>49</v>
      </c>
      <c r="CN10" s="384">
        <v>49</v>
      </c>
      <c r="CO10" s="384">
        <v>49</v>
      </c>
      <c r="CP10" s="384">
        <v>53</v>
      </c>
      <c r="CQ10" s="384">
        <v>53</v>
      </c>
      <c r="CR10" s="384">
        <v>57</v>
      </c>
      <c r="CS10" s="384">
        <v>57</v>
      </c>
      <c r="CT10" s="384">
        <v>61</v>
      </c>
      <c r="CU10" s="384">
        <v>65</v>
      </c>
      <c r="CV10" s="384">
        <v>69</v>
      </c>
      <c r="CW10" s="384">
        <v>73</v>
      </c>
      <c r="CX10" s="384">
        <v>73</v>
      </c>
      <c r="CY10" s="384">
        <v>78</v>
      </c>
      <c r="CZ10" s="384">
        <v>78</v>
      </c>
      <c r="DA10" s="384">
        <v>78</v>
      </c>
      <c r="DB10" s="384">
        <v>81</v>
      </c>
      <c r="DC10" s="384">
        <v>83</v>
      </c>
      <c r="DD10" s="384">
        <v>87</v>
      </c>
      <c r="DE10" s="384">
        <v>90</v>
      </c>
      <c r="DF10" s="384">
        <v>94</v>
      </c>
      <c r="DI10" s="380">
        <v>1</v>
      </c>
      <c r="DJ10" s="384">
        <v>40</v>
      </c>
      <c r="DK10" s="384">
        <v>40</v>
      </c>
      <c r="DL10" s="384">
        <v>44</v>
      </c>
      <c r="DM10" s="384">
        <v>44</v>
      </c>
      <c r="DN10" s="384">
        <v>49</v>
      </c>
      <c r="DO10" s="384">
        <v>49</v>
      </c>
      <c r="DP10" s="384">
        <v>49</v>
      </c>
      <c r="DQ10" s="384">
        <v>53</v>
      </c>
      <c r="DR10" s="384">
        <v>53</v>
      </c>
      <c r="DS10" s="384">
        <v>57</v>
      </c>
      <c r="DT10" s="384">
        <v>57</v>
      </c>
      <c r="DU10" s="384">
        <v>61</v>
      </c>
      <c r="DV10" s="384">
        <v>69</v>
      </c>
      <c r="DW10" s="384">
        <v>73</v>
      </c>
      <c r="DX10" s="384">
        <v>73</v>
      </c>
      <c r="DY10" s="384">
        <v>76</v>
      </c>
      <c r="DZ10" s="384">
        <v>76</v>
      </c>
      <c r="EA10" s="384">
        <v>78</v>
      </c>
      <c r="EB10" s="384">
        <v>81</v>
      </c>
      <c r="EC10" s="384">
        <v>83</v>
      </c>
      <c r="ED10" s="384">
        <v>83</v>
      </c>
      <c r="EE10" s="384">
        <v>85</v>
      </c>
      <c r="EF10" s="384">
        <v>87</v>
      </c>
      <c r="EG10" s="384">
        <v>90</v>
      </c>
      <c r="EH10" s="384">
        <v>94</v>
      </c>
    </row>
    <row r="11" spans="1:138" x14ac:dyDescent="0.15">
      <c r="A11" s="380">
        <v>2</v>
      </c>
      <c r="B11" s="385">
        <v>40</v>
      </c>
      <c r="C11" s="384">
        <v>40</v>
      </c>
      <c r="D11" s="384">
        <v>40</v>
      </c>
      <c r="E11" s="384">
        <v>40</v>
      </c>
      <c r="F11" s="384">
        <v>40</v>
      </c>
      <c r="G11" s="384">
        <v>40</v>
      </c>
      <c r="H11" s="384">
        <v>44</v>
      </c>
      <c r="I11" s="384">
        <v>44</v>
      </c>
      <c r="J11" s="384">
        <v>49</v>
      </c>
      <c r="K11" s="384">
        <v>49</v>
      </c>
      <c r="L11" s="384">
        <v>53</v>
      </c>
      <c r="M11" s="384">
        <v>53</v>
      </c>
      <c r="N11" s="384">
        <v>57</v>
      </c>
      <c r="O11" s="384">
        <v>61</v>
      </c>
      <c r="P11" s="384">
        <v>61</v>
      </c>
      <c r="Q11" s="384">
        <v>69</v>
      </c>
      <c r="R11" s="384">
        <v>73</v>
      </c>
      <c r="S11" s="384">
        <v>78</v>
      </c>
      <c r="T11" s="384">
        <v>78</v>
      </c>
      <c r="U11" s="384">
        <v>78</v>
      </c>
      <c r="V11" s="384">
        <v>78</v>
      </c>
      <c r="W11" s="384">
        <v>78</v>
      </c>
      <c r="X11" s="384">
        <v>83</v>
      </c>
      <c r="Y11" s="384">
        <v>87</v>
      </c>
      <c r="Z11" s="384">
        <v>94</v>
      </c>
      <c r="AC11" s="380">
        <v>2</v>
      </c>
      <c r="AD11" s="384">
        <v>40</v>
      </c>
      <c r="AE11" s="384">
        <v>40</v>
      </c>
      <c r="AF11" s="384">
        <v>40</v>
      </c>
      <c r="AG11" s="384">
        <v>40</v>
      </c>
      <c r="AH11" s="384">
        <v>40</v>
      </c>
      <c r="AI11" s="384">
        <v>44</v>
      </c>
      <c r="AJ11" s="384">
        <v>44</v>
      </c>
      <c r="AK11" s="384">
        <v>44</v>
      </c>
      <c r="AL11" s="384">
        <v>49</v>
      </c>
      <c r="AM11" s="384">
        <v>49</v>
      </c>
      <c r="AN11" s="384">
        <v>53</v>
      </c>
      <c r="AO11" s="384">
        <v>53</v>
      </c>
      <c r="AP11" s="384">
        <v>57</v>
      </c>
      <c r="AQ11" s="384">
        <v>61</v>
      </c>
      <c r="AR11" s="384">
        <v>61</v>
      </c>
      <c r="AS11" s="384">
        <v>69</v>
      </c>
      <c r="AT11" s="384">
        <v>73</v>
      </c>
      <c r="AU11" s="384">
        <v>78</v>
      </c>
      <c r="AV11" s="384">
        <v>78</v>
      </c>
      <c r="AW11" s="384">
        <v>78</v>
      </c>
      <c r="AX11" s="384">
        <v>78</v>
      </c>
      <c r="AY11" s="384">
        <v>78</v>
      </c>
      <c r="AZ11" s="384">
        <v>83</v>
      </c>
      <c r="BA11" s="384">
        <v>87</v>
      </c>
      <c r="BB11" s="384">
        <v>94</v>
      </c>
      <c r="BE11" s="380">
        <v>2</v>
      </c>
      <c r="BF11" s="384">
        <v>40</v>
      </c>
      <c r="BG11" s="384">
        <v>40</v>
      </c>
      <c r="BH11" s="384">
        <v>40</v>
      </c>
      <c r="BI11" s="384">
        <v>40</v>
      </c>
      <c r="BJ11" s="384">
        <v>40</v>
      </c>
      <c r="BK11" s="384">
        <v>44</v>
      </c>
      <c r="BL11" s="384">
        <v>44</v>
      </c>
      <c r="BM11" s="384">
        <v>44</v>
      </c>
      <c r="BN11" s="384">
        <v>49</v>
      </c>
      <c r="BO11" s="384">
        <v>49</v>
      </c>
      <c r="BP11" s="384">
        <v>53</v>
      </c>
      <c r="BQ11" s="384">
        <v>53</v>
      </c>
      <c r="BR11" s="384">
        <v>57</v>
      </c>
      <c r="BS11" s="384">
        <v>61</v>
      </c>
      <c r="BT11" s="384">
        <v>61</v>
      </c>
      <c r="BU11" s="384">
        <v>69</v>
      </c>
      <c r="BV11" s="384">
        <v>73</v>
      </c>
      <c r="BW11" s="384">
        <v>78</v>
      </c>
      <c r="BX11" s="384">
        <v>78</v>
      </c>
      <c r="BY11" s="384">
        <v>78</v>
      </c>
      <c r="BZ11" s="384">
        <v>78</v>
      </c>
      <c r="CA11" s="384">
        <v>78</v>
      </c>
      <c r="CB11" s="384">
        <v>83</v>
      </c>
      <c r="CC11" s="384">
        <v>87</v>
      </c>
      <c r="CD11" s="384">
        <v>94</v>
      </c>
      <c r="CG11" s="380">
        <v>2</v>
      </c>
      <c r="CH11" s="384">
        <v>40</v>
      </c>
      <c r="CI11" s="384">
        <v>40</v>
      </c>
      <c r="CJ11" s="384">
        <v>40</v>
      </c>
      <c r="CK11" s="384">
        <v>40</v>
      </c>
      <c r="CL11" s="384">
        <v>44</v>
      </c>
      <c r="CM11" s="384">
        <v>49</v>
      </c>
      <c r="CN11" s="384">
        <v>49</v>
      </c>
      <c r="CO11" s="384">
        <v>49</v>
      </c>
      <c r="CP11" s="384">
        <v>53</v>
      </c>
      <c r="CQ11" s="384">
        <v>53</v>
      </c>
      <c r="CR11" s="384">
        <v>57</v>
      </c>
      <c r="CS11" s="384">
        <v>57</v>
      </c>
      <c r="CT11" s="384">
        <v>61</v>
      </c>
      <c r="CU11" s="384">
        <v>65</v>
      </c>
      <c r="CV11" s="384">
        <v>69</v>
      </c>
      <c r="CW11" s="384">
        <v>73</v>
      </c>
      <c r="CX11" s="384">
        <v>73</v>
      </c>
      <c r="CY11" s="384">
        <v>78</v>
      </c>
      <c r="CZ11" s="384">
        <v>78</v>
      </c>
      <c r="DA11" s="384">
        <v>78</v>
      </c>
      <c r="DB11" s="384">
        <v>81</v>
      </c>
      <c r="DC11" s="384">
        <v>83</v>
      </c>
      <c r="DD11" s="384">
        <v>87</v>
      </c>
      <c r="DE11" s="384">
        <v>90</v>
      </c>
      <c r="DF11" s="384">
        <v>94</v>
      </c>
      <c r="DI11" s="380">
        <v>2</v>
      </c>
      <c r="DJ11" s="384">
        <v>40</v>
      </c>
      <c r="DK11" s="384">
        <v>40</v>
      </c>
      <c r="DL11" s="384">
        <v>44</v>
      </c>
      <c r="DM11" s="384">
        <v>44</v>
      </c>
      <c r="DN11" s="384">
        <v>49</v>
      </c>
      <c r="DO11" s="384">
        <v>49</v>
      </c>
      <c r="DP11" s="384">
        <v>49</v>
      </c>
      <c r="DQ11" s="384">
        <v>53</v>
      </c>
      <c r="DR11" s="384">
        <v>53</v>
      </c>
      <c r="DS11" s="384">
        <v>57</v>
      </c>
      <c r="DT11" s="384">
        <v>57</v>
      </c>
      <c r="DU11" s="384">
        <v>61</v>
      </c>
      <c r="DV11" s="384">
        <v>69</v>
      </c>
      <c r="DW11" s="384">
        <v>73</v>
      </c>
      <c r="DX11" s="384">
        <v>73</v>
      </c>
      <c r="DY11" s="384">
        <v>76</v>
      </c>
      <c r="DZ11" s="384">
        <v>76</v>
      </c>
      <c r="EA11" s="384">
        <v>78</v>
      </c>
      <c r="EB11" s="384">
        <v>81</v>
      </c>
      <c r="EC11" s="384">
        <v>83</v>
      </c>
      <c r="ED11" s="384">
        <v>83</v>
      </c>
      <c r="EE11" s="384">
        <v>85</v>
      </c>
      <c r="EF11" s="384">
        <v>87</v>
      </c>
      <c r="EG11" s="384">
        <v>90</v>
      </c>
      <c r="EH11" s="384">
        <v>94</v>
      </c>
    </row>
    <row r="12" spans="1:138" x14ac:dyDescent="0.15">
      <c r="A12" s="380">
        <v>3</v>
      </c>
      <c r="B12" s="385">
        <v>40</v>
      </c>
      <c r="C12" s="384">
        <v>40</v>
      </c>
      <c r="D12" s="384">
        <v>40</v>
      </c>
      <c r="E12" s="384">
        <v>40</v>
      </c>
      <c r="F12" s="384">
        <v>40</v>
      </c>
      <c r="G12" s="384">
        <v>40</v>
      </c>
      <c r="H12" s="384">
        <v>44</v>
      </c>
      <c r="I12" s="384">
        <v>44</v>
      </c>
      <c r="J12" s="384">
        <v>49</v>
      </c>
      <c r="K12" s="384">
        <v>49</v>
      </c>
      <c r="L12" s="384">
        <v>53</v>
      </c>
      <c r="M12" s="384">
        <v>53</v>
      </c>
      <c r="N12" s="384">
        <v>57</v>
      </c>
      <c r="O12" s="384">
        <v>61</v>
      </c>
      <c r="P12" s="384">
        <v>61</v>
      </c>
      <c r="Q12" s="384">
        <v>69</v>
      </c>
      <c r="R12" s="384">
        <v>73</v>
      </c>
      <c r="S12" s="384">
        <v>78</v>
      </c>
      <c r="T12" s="384">
        <v>78</v>
      </c>
      <c r="U12" s="384">
        <v>78</v>
      </c>
      <c r="V12" s="384">
        <v>78</v>
      </c>
      <c r="W12" s="384">
        <v>78</v>
      </c>
      <c r="X12" s="384">
        <v>83</v>
      </c>
      <c r="Y12" s="384">
        <v>87</v>
      </c>
      <c r="Z12" s="384">
        <v>94</v>
      </c>
      <c r="AC12" s="380">
        <v>3</v>
      </c>
      <c r="AD12" s="384">
        <v>40</v>
      </c>
      <c r="AE12" s="384">
        <v>40</v>
      </c>
      <c r="AF12" s="384">
        <v>40</v>
      </c>
      <c r="AG12" s="384">
        <v>40</v>
      </c>
      <c r="AH12" s="384">
        <v>40</v>
      </c>
      <c r="AI12" s="384">
        <v>44</v>
      </c>
      <c r="AJ12" s="384">
        <v>44</v>
      </c>
      <c r="AK12" s="384">
        <v>44</v>
      </c>
      <c r="AL12" s="384">
        <v>49</v>
      </c>
      <c r="AM12" s="384">
        <v>49</v>
      </c>
      <c r="AN12" s="384">
        <v>53</v>
      </c>
      <c r="AO12" s="384">
        <v>53</v>
      </c>
      <c r="AP12" s="384">
        <v>57</v>
      </c>
      <c r="AQ12" s="384">
        <v>61</v>
      </c>
      <c r="AR12" s="384">
        <v>61</v>
      </c>
      <c r="AS12" s="384">
        <v>69</v>
      </c>
      <c r="AT12" s="384">
        <v>73</v>
      </c>
      <c r="AU12" s="384">
        <v>78</v>
      </c>
      <c r="AV12" s="384">
        <v>78</v>
      </c>
      <c r="AW12" s="384">
        <v>78</v>
      </c>
      <c r="AX12" s="384">
        <v>78</v>
      </c>
      <c r="AY12" s="384">
        <v>78</v>
      </c>
      <c r="AZ12" s="384">
        <v>83</v>
      </c>
      <c r="BA12" s="384">
        <v>87</v>
      </c>
      <c r="BB12" s="384">
        <v>94</v>
      </c>
      <c r="BE12" s="380">
        <v>3</v>
      </c>
      <c r="BF12" s="384">
        <v>40</v>
      </c>
      <c r="BG12" s="384">
        <v>40</v>
      </c>
      <c r="BH12" s="384">
        <v>40</v>
      </c>
      <c r="BI12" s="384">
        <v>40</v>
      </c>
      <c r="BJ12" s="384">
        <v>40</v>
      </c>
      <c r="BK12" s="384">
        <v>44</v>
      </c>
      <c r="BL12" s="384">
        <v>44</v>
      </c>
      <c r="BM12" s="384">
        <v>44</v>
      </c>
      <c r="BN12" s="384">
        <v>49</v>
      </c>
      <c r="BO12" s="384">
        <v>49</v>
      </c>
      <c r="BP12" s="384">
        <v>53</v>
      </c>
      <c r="BQ12" s="384">
        <v>53</v>
      </c>
      <c r="BR12" s="384">
        <v>57</v>
      </c>
      <c r="BS12" s="384">
        <v>61</v>
      </c>
      <c r="BT12" s="384">
        <v>61</v>
      </c>
      <c r="BU12" s="384">
        <v>69</v>
      </c>
      <c r="BV12" s="384">
        <v>73</v>
      </c>
      <c r="BW12" s="384">
        <v>78</v>
      </c>
      <c r="BX12" s="384">
        <v>78</v>
      </c>
      <c r="BY12" s="384">
        <v>78</v>
      </c>
      <c r="BZ12" s="384">
        <v>78</v>
      </c>
      <c r="CA12" s="384">
        <v>78</v>
      </c>
      <c r="CB12" s="384">
        <v>83</v>
      </c>
      <c r="CC12" s="384">
        <v>87</v>
      </c>
      <c r="CD12" s="384">
        <v>94</v>
      </c>
      <c r="CG12" s="380">
        <v>3</v>
      </c>
      <c r="CH12" s="384">
        <v>40</v>
      </c>
      <c r="CI12" s="384">
        <v>40</v>
      </c>
      <c r="CJ12" s="384">
        <v>40</v>
      </c>
      <c r="CK12" s="384">
        <v>40</v>
      </c>
      <c r="CL12" s="384">
        <v>44</v>
      </c>
      <c r="CM12" s="384">
        <v>49</v>
      </c>
      <c r="CN12" s="384">
        <v>49</v>
      </c>
      <c r="CO12" s="384">
        <v>49</v>
      </c>
      <c r="CP12" s="384">
        <v>53</v>
      </c>
      <c r="CQ12" s="384">
        <v>53</v>
      </c>
      <c r="CR12" s="384">
        <v>57</v>
      </c>
      <c r="CS12" s="384">
        <v>57</v>
      </c>
      <c r="CT12" s="384">
        <v>61</v>
      </c>
      <c r="CU12" s="384">
        <v>65</v>
      </c>
      <c r="CV12" s="384">
        <v>69</v>
      </c>
      <c r="CW12" s="384">
        <v>73</v>
      </c>
      <c r="CX12" s="384">
        <v>73</v>
      </c>
      <c r="CY12" s="384">
        <v>78</v>
      </c>
      <c r="CZ12" s="384">
        <v>78</v>
      </c>
      <c r="DA12" s="384">
        <v>78</v>
      </c>
      <c r="DB12" s="384">
        <v>81</v>
      </c>
      <c r="DC12" s="384">
        <v>83</v>
      </c>
      <c r="DD12" s="384">
        <v>87</v>
      </c>
      <c r="DE12" s="384">
        <v>90</v>
      </c>
      <c r="DF12" s="384">
        <v>94</v>
      </c>
      <c r="DI12" s="380">
        <v>3</v>
      </c>
      <c r="DJ12" s="384">
        <v>40</v>
      </c>
      <c r="DK12" s="384">
        <v>40</v>
      </c>
      <c r="DL12" s="384">
        <v>44</v>
      </c>
      <c r="DM12" s="384">
        <v>44</v>
      </c>
      <c r="DN12" s="384">
        <v>49</v>
      </c>
      <c r="DO12" s="384">
        <v>49</v>
      </c>
      <c r="DP12" s="384">
        <v>49</v>
      </c>
      <c r="DQ12" s="384">
        <v>53</v>
      </c>
      <c r="DR12" s="384">
        <v>53</v>
      </c>
      <c r="DS12" s="384">
        <v>57</v>
      </c>
      <c r="DT12" s="384">
        <v>57</v>
      </c>
      <c r="DU12" s="384">
        <v>61</v>
      </c>
      <c r="DV12" s="384">
        <v>69</v>
      </c>
      <c r="DW12" s="384">
        <v>73</v>
      </c>
      <c r="DX12" s="384">
        <v>73</v>
      </c>
      <c r="DY12" s="384">
        <v>76</v>
      </c>
      <c r="DZ12" s="384">
        <v>76</v>
      </c>
      <c r="EA12" s="384">
        <v>78</v>
      </c>
      <c r="EB12" s="384">
        <v>81</v>
      </c>
      <c r="EC12" s="384">
        <v>83</v>
      </c>
      <c r="ED12" s="384">
        <v>83</v>
      </c>
      <c r="EE12" s="384">
        <v>85</v>
      </c>
      <c r="EF12" s="384">
        <v>87</v>
      </c>
      <c r="EG12" s="384">
        <v>90</v>
      </c>
      <c r="EH12" s="384">
        <v>94</v>
      </c>
    </row>
    <row r="13" spans="1:138" x14ac:dyDescent="0.15">
      <c r="A13" s="380">
        <v>4</v>
      </c>
      <c r="B13" s="385">
        <v>40</v>
      </c>
      <c r="C13" s="384">
        <v>40</v>
      </c>
      <c r="D13" s="384">
        <v>40</v>
      </c>
      <c r="E13" s="384">
        <v>40</v>
      </c>
      <c r="F13" s="384">
        <v>40</v>
      </c>
      <c r="G13" s="384">
        <v>40</v>
      </c>
      <c r="H13" s="384">
        <v>44</v>
      </c>
      <c r="I13" s="384">
        <v>44</v>
      </c>
      <c r="J13" s="384">
        <v>49</v>
      </c>
      <c r="K13" s="384">
        <v>49</v>
      </c>
      <c r="L13" s="384">
        <v>53</v>
      </c>
      <c r="M13" s="384">
        <v>53</v>
      </c>
      <c r="N13" s="384">
        <v>57</v>
      </c>
      <c r="O13" s="384">
        <v>61</v>
      </c>
      <c r="P13" s="384">
        <v>61</v>
      </c>
      <c r="Q13" s="384">
        <v>69</v>
      </c>
      <c r="R13" s="384">
        <v>73</v>
      </c>
      <c r="S13" s="384">
        <v>78</v>
      </c>
      <c r="T13" s="384">
        <v>78</v>
      </c>
      <c r="U13" s="384">
        <v>78</v>
      </c>
      <c r="V13" s="384">
        <v>78</v>
      </c>
      <c r="W13" s="384">
        <v>78</v>
      </c>
      <c r="X13" s="384">
        <v>83</v>
      </c>
      <c r="Y13" s="384">
        <v>87</v>
      </c>
      <c r="Z13" s="384">
        <v>94</v>
      </c>
      <c r="AC13" s="380">
        <v>4</v>
      </c>
      <c r="AD13" s="384">
        <v>40</v>
      </c>
      <c r="AE13" s="384">
        <v>40</v>
      </c>
      <c r="AF13" s="384">
        <v>40</v>
      </c>
      <c r="AG13" s="384">
        <v>40</v>
      </c>
      <c r="AH13" s="384">
        <v>40</v>
      </c>
      <c r="AI13" s="384">
        <v>44</v>
      </c>
      <c r="AJ13" s="384">
        <v>44</v>
      </c>
      <c r="AK13" s="384">
        <v>44</v>
      </c>
      <c r="AL13" s="384">
        <v>49</v>
      </c>
      <c r="AM13" s="384">
        <v>49</v>
      </c>
      <c r="AN13" s="384">
        <v>53</v>
      </c>
      <c r="AO13" s="384">
        <v>53</v>
      </c>
      <c r="AP13" s="384">
        <v>57</v>
      </c>
      <c r="AQ13" s="384">
        <v>61</v>
      </c>
      <c r="AR13" s="384">
        <v>61</v>
      </c>
      <c r="AS13" s="384">
        <v>69</v>
      </c>
      <c r="AT13" s="384">
        <v>73</v>
      </c>
      <c r="AU13" s="384">
        <v>78</v>
      </c>
      <c r="AV13" s="384">
        <v>78</v>
      </c>
      <c r="AW13" s="384">
        <v>78</v>
      </c>
      <c r="AX13" s="384">
        <v>78</v>
      </c>
      <c r="AY13" s="384">
        <v>78</v>
      </c>
      <c r="AZ13" s="384">
        <v>83</v>
      </c>
      <c r="BA13" s="384">
        <v>87</v>
      </c>
      <c r="BB13" s="384">
        <v>94</v>
      </c>
      <c r="BE13" s="380">
        <v>4</v>
      </c>
      <c r="BF13" s="384">
        <v>40</v>
      </c>
      <c r="BG13" s="384">
        <v>40</v>
      </c>
      <c r="BH13" s="384">
        <v>40</v>
      </c>
      <c r="BI13" s="384">
        <v>40</v>
      </c>
      <c r="BJ13" s="384">
        <v>40</v>
      </c>
      <c r="BK13" s="384">
        <v>44</v>
      </c>
      <c r="BL13" s="384">
        <v>44</v>
      </c>
      <c r="BM13" s="384">
        <v>44</v>
      </c>
      <c r="BN13" s="384">
        <v>49</v>
      </c>
      <c r="BO13" s="384">
        <v>49</v>
      </c>
      <c r="BP13" s="384">
        <v>53</v>
      </c>
      <c r="BQ13" s="384">
        <v>53</v>
      </c>
      <c r="BR13" s="384">
        <v>57</v>
      </c>
      <c r="BS13" s="384">
        <v>61</v>
      </c>
      <c r="BT13" s="384">
        <v>61</v>
      </c>
      <c r="BU13" s="384">
        <v>69</v>
      </c>
      <c r="BV13" s="384">
        <v>73</v>
      </c>
      <c r="BW13" s="384">
        <v>78</v>
      </c>
      <c r="BX13" s="384">
        <v>78</v>
      </c>
      <c r="BY13" s="384">
        <v>78</v>
      </c>
      <c r="BZ13" s="384">
        <v>78</v>
      </c>
      <c r="CA13" s="384">
        <v>78</v>
      </c>
      <c r="CB13" s="384">
        <v>83</v>
      </c>
      <c r="CC13" s="384">
        <v>87</v>
      </c>
      <c r="CD13" s="384">
        <v>94</v>
      </c>
      <c r="CG13" s="380">
        <v>4</v>
      </c>
      <c r="CH13" s="384">
        <v>40</v>
      </c>
      <c r="CI13" s="384">
        <v>40</v>
      </c>
      <c r="CJ13" s="384">
        <v>40</v>
      </c>
      <c r="CK13" s="384">
        <v>40</v>
      </c>
      <c r="CL13" s="384">
        <v>44</v>
      </c>
      <c r="CM13" s="384">
        <v>49</v>
      </c>
      <c r="CN13" s="384">
        <v>49</v>
      </c>
      <c r="CO13" s="384">
        <v>49</v>
      </c>
      <c r="CP13" s="384">
        <v>53</v>
      </c>
      <c r="CQ13" s="384">
        <v>53</v>
      </c>
      <c r="CR13" s="384">
        <v>57</v>
      </c>
      <c r="CS13" s="384">
        <v>57</v>
      </c>
      <c r="CT13" s="384">
        <v>61</v>
      </c>
      <c r="CU13" s="384">
        <v>65</v>
      </c>
      <c r="CV13" s="384">
        <v>69</v>
      </c>
      <c r="CW13" s="384">
        <v>73</v>
      </c>
      <c r="CX13" s="384">
        <v>73</v>
      </c>
      <c r="CY13" s="384">
        <v>78</v>
      </c>
      <c r="CZ13" s="384">
        <v>78</v>
      </c>
      <c r="DA13" s="384">
        <v>78</v>
      </c>
      <c r="DB13" s="384">
        <v>81</v>
      </c>
      <c r="DC13" s="384">
        <v>83</v>
      </c>
      <c r="DD13" s="384">
        <v>87</v>
      </c>
      <c r="DE13" s="384">
        <v>90</v>
      </c>
      <c r="DF13" s="384">
        <v>94</v>
      </c>
      <c r="DI13" s="380">
        <v>4</v>
      </c>
      <c r="DJ13" s="384">
        <v>40</v>
      </c>
      <c r="DK13" s="384">
        <v>40</v>
      </c>
      <c r="DL13" s="384">
        <v>44</v>
      </c>
      <c r="DM13" s="384">
        <v>44</v>
      </c>
      <c r="DN13" s="384">
        <v>49</v>
      </c>
      <c r="DO13" s="384">
        <v>49</v>
      </c>
      <c r="DP13" s="384">
        <v>49</v>
      </c>
      <c r="DQ13" s="384">
        <v>53</v>
      </c>
      <c r="DR13" s="384">
        <v>53</v>
      </c>
      <c r="DS13" s="384">
        <v>57</v>
      </c>
      <c r="DT13" s="384">
        <v>57</v>
      </c>
      <c r="DU13" s="384">
        <v>61</v>
      </c>
      <c r="DV13" s="384">
        <v>69</v>
      </c>
      <c r="DW13" s="384">
        <v>73</v>
      </c>
      <c r="DX13" s="384">
        <v>73</v>
      </c>
      <c r="DY13" s="384">
        <v>76</v>
      </c>
      <c r="DZ13" s="384">
        <v>76</v>
      </c>
      <c r="EA13" s="384">
        <v>78</v>
      </c>
      <c r="EB13" s="384">
        <v>81</v>
      </c>
      <c r="EC13" s="384">
        <v>83</v>
      </c>
      <c r="ED13" s="384">
        <v>83</v>
      </c>
      <c r="EE13" s="384">
        <v>85</v>
      </c>
      <c r="EF13" s="384">
        <v>87</v>
      </c>
      <c r="EG13" s="384">
        <v>90</v>
      </c>
      <c r="EH13" s="384">
        <v>94</v>
      </c>
    </row>
    <row r="14" spans="1:138" x14ac:dyDescent="0.15">
      <c r="A14" s="380">
        <v>5</v>
      </c>
      <c r="B14" s="385">
        <v>40</v>
      </c>
      <c r="C14" s="384">
        <v>40</v>
      </c>
      <c r="D14" s="384">
        <v>40</v>
      </c>
      <c r="E14" s="384">
        <v>40</v>
      </c>
      <c r="F14" s="384">
        <v>40</v>
      </c>
      <c r="G14" s="384">
        <v>40</v>
      </c>
      <c r="H14" s="384">
        <v>44</v>
      </c>
      <c r="I14" s="384">
        <v>44</v>
      </c>
      <c r="J14" s="384">
        <v>49</v>
      </c>
      <c r="K14" s="384">
        <v>49</v>
      </c>
      <c r="L14" s="384">
        <v>53</v>
      </c>
      <c r="M14" s="384">
        <v>53</v>
      </c>
      <c r="N14" s="384">
        <v>57</v>
      </c>
      <c r="O14" s="384">
        <v>61</v>
      </c>
      <c r="P14" s="384">
        <v>61</v>
      </c>
      <c r="Q14" s="384">
        <v>69</v>
      </c>
      <c r="R14" s="384">
        <v>73</v>
      </c>
      <c r="S14" s="384">
        <v>78</v>
      </c>
      <c r="T14" s="384">
        <v>78</v>
      </c>
      <c r="U14" s="384">
        <v>78</v>
      </c>
      <c r="V14" s="384">
        <v>78</v>
      </c>
      <c r="W14" s="384">
        <v>78</v>
      </c>
      <c r="X14" s="384">
        <v>83</v>
      </c>
      <c r="Y14" s="384">
        <v>87</v>
      </c>
      <c r="Z14" s="384">
        <v>94</v>
      </c>
      <c r="AC14" s="380">
        <v>5</v>
      </c>
      <c r="AD14" s="384">
        <v>40</v>
      </c>
      <c r="AE14" s="384">
        <v>40</v>
      </c>
      <c r="AF14" s="384">
        <v>40</v>
      </c>
      <c r="AG14" s="384">
        <v>40</v>
      </c>
      <c r="AH14" s="384">
        <v>40</v>
      </c>
      <c r="AI14" s="384">
        <v>44</v>
      </c>
      <c r="AJ14" s="384">
        <v>44</v>
      </c>
      <c r="AK14" s="384">
        <v>44</v>
      </c>
      <c r="AL14" s="384">
        <v>49</v>
      </c>
      <c r="AM14" s="384">
        <v>49</v>
      </c>
      <c r="AN14" s="384">
        <v>53</v>
      </c>
      <c r="AO14" s="384">
        <v>53</v>
      </c>
      <c r="AP14" s="384">
        <v>57</v>
      </c>
      <c r="AQ14" s="384">
        <v>61</v>
      </c>
      <c r="AR14" s="384">
        <v>61</v>
      </c>
      <c r="AS14" s="384">
        <v>69</v>
      </c>
      <c r="AT14" s="384">
        <v>73</v>
      </c>
      <c r="AU14" s="384">
        <v>78</v>
      </c>
      <c r="AV14" s="384">
        <v>78</v>
      </c>
      <c r="AW14" s="384">
        <v>78</v>
      </c>
      <c r="AX14" s="384">
        <v>78</v>
      </c>
      <c r="AY14" s="384">
        <v>78</v>
      </c>
      <c r="AZ14" s="384">
        <v>83</v>
      </c>
      <c r="BA14" s="384">
        <v>87</v>
      </c>
      <c r="BB14" s="384">
        <v>94</v>
      </c>
      <c r="BE14" s="380">
        <v>5</v>
      </c>
      <c r="BF14" s="384">
        <v>40</v>
      </c>
      <c r="BG14" s="384">
        <v>40</v>
      </c>
      <c r="BH14" s="384">
        <v>40</v>
      </c>
      <c r="BI14" s="384">
        <v>40</v>
      </c>
      <c r="BJ14" s="384">
        <v>40</v>
      </c>
      <c r="BK14" s="384">
        <v>44</v>
      </c>
      <c r="BL14" s="384">
        <v>44</v>
      </c>
      <c r="BM14" s="384">
        <v>44</v>
      </c>
      <c r="BN14" s="384">
        <v>49</v>
      </c>
      <c r="BO14" s="384">
        <v>49</v>
      </c>
      <c r="BP14" s="384">
        <v>53</v>
      </c>
      <c r="BQ14" s="384">
        <v>53</v>
      </c>
      <c r="BR14" s="384">
        <v>57</v>
      </c>
      <c r="BS14" s="384">
        <v>61</v>
      </c>
      <c r="BT14" s="384">
        <v>61</v>
      </c>
      <c r="BU14" s="384">
        <v>69</v>
      </c>
      <c r="BV14" s="384">
        <v>73</v>
      </c>
      <c r="BW14" s="384">
        <v>78</v>
      </c>
      <c r="BX14" s="384">
        <v>78</v>
      </c>
      <c r="BY14" s="384">
        <v>78</v>
      </c>
      <c r="BZ14" s="384">
        <v>78</v>
      </c>
      <c r="CA14" s="384">
        <v>78</v>
      </c>
      <c r="CB14" s="384">
        <v>83</v>
      </c>
      <c r="CC14" s="384">
        <v>87</v>
      </c>
      <c r="CD14" s="384">
        <v>94</v>
      </c>
      <c r="CG14" s="380">
        <v>5</v>
      </c>
      <c r="CH14" s="384">
        <v>40</v>
      </c>
      <c r="CI14" s="384">
        <v>40</v>
      </c>
      <c r="CJ14" s="384">
        <v>40</v>
      </c>
      <c r="CK14" s="384">
        <v>40</v>
      </c>
      <c r="CL14" s="384">
        <v>44</v>
      </c>
      <c r="CM14" s="384">
        <v>49</v>
      </c>
      <c r="CN14" s="384">
        <v>49</v>
      </c>
      <c r="CO14" s="384">
        <v>49</v>
      </c>
      <c r="CP14" s="384">
        <v>53</v>
      </c>
      <c r="CQ14" s="384">
        <v>53</v>
      </c>
      <c r="CR14" s="384">
        <v>57</v>
      </c>
      <c r="CS14" s="384">
        <v>57</v>
      </c>
      <c r="CT14" s="384">
        <v>61</v>
      </c>
      <c r="CU14" s="384">
        <v>65</v>
      </c>
      <c r="CV14" s="384">
        <v>69</v>
      </c>
      <c r="CW14" s="384">
        <v>73</v>
      </c>
      <c r="CX14" s="384">
        <v>73</v>
      </c>
      <c r="CY14" s="384">
        <v>78</v>
      </c>
      <c r="CZ14" s="384">
        <v>78</v>
      </c>
      <c r="DA14" s="384">
        <v>78</v>
      </c>
      <c r="DB14" s="384">
        <v>81</v>
      </c>
      <c r="DC14" s="384">
        <v>83</v>
      </c>
      <c r="DD14" s="384">
        <v>87</v>
      </c>
      <c r="DE14" s="384">
        <v>90</v>
      </c>
      <c r="DF14" s="384">
        <v>94</v>
      </c>
      <c r="DI14" s="380">
        <v>5</v>
      </c>
      <c r="DJ14" s="384">
        <v>40</v>
      </c>
      <c r="DK14" s="384">
        <v>40</v>
      </c>
      <c r="DL14" s="384">
        <v>44</v>
      </c>
      <c r="DM14" s="384">
        <v>44</v>
      </c>
      <c r="DN14" s="384">
        <v>49</v>
      </c>
      <c r="DO14" s="384">
        <v>49</v>
      </c>
      <c r="DP14" s="384">
        <v>49</v>
      </c>
      <c r="DQ14" s="384">
        <v>53</v>
      </c>
      <c r="DR14" s="384">
        <v>53</v>
      </c>
      <c r="DS14" s="384">
        <v>57</v>
      </c>
      <c r="DT14" s="384">
        <v>57</v>
      </c>
      <c r="DU14" s="384">
        <v>61</v>
      </c>
      <c r="DV14" s="384">
        <v>69</v>
      </c>
      <c r="DW14" s="384">
        <v>73</v>
      </c>
      <c r="DX14" s="384">
        <v>73</v>
      </c>
      <c r="DY14" s="384">
        <v>76</v>
      </c>
      <c r="DZ14" s="384">
        <v>76</v>
      </c>
      <c r="EA14" s="384">
        <v>78</v>
      </c>
      <c r="EB14" s="384">
        <v>81</v>
      </c>
      <c r="EC14" s="384">
        <v>83</v>
      </c>
      <c r="ED14" s="384">
        <v>83</v>
      </c>
      <c r="EE14" s="384">
        <v>85</v>
      </c>
      <c r="EF14" s="384">
        <v>87</v>
      </c>
      <c r="EG14" s="384">
        <v>90</v>
      </c>
      <c r="EH14" s="384">
        <v>94</v>
      </c>
    </row>
    <row r="15" spans="1:138" x14ac:dyDescent="0.15">
      <c r="A15" s="380">
        <v>6</v>
      </c>
      <c r="B15" s="385">
        <v>40</v>
      </c>
      <c r="C15" s="384">
        <v>40</v>
      </c>
      <c r="D15" s="384">
        <v>40</v>
      </c>
      <c r="E15" s="384">
        <v>40</v>
      </c>
      <c r="F15" s="384">
        <v>40</v>
      </c>
      <c r="G15" s="384">
        <v>40</v>
      </c>
      <c r="H15" s="384">
        <v>44</v>
      </c>
      <c r="I15" s="384">
        <v>44</v>
      </c>
      <c r="J15" s="384">
        <v>49</v>
      </c>
      <c r="K15" s="384">
        <v>49</v>
      </c>
      <c r="L15" s="384">
        <v>53</v>
      </c>
      <c r="M15" s="384">
        <v>53</v>
      </c>
      <c r="N15" s="384">
        <v>57</v>
      </c>
      <c r="O15" s="384">
        <v>61</v>
      </c>
      <c r="P15" s="384">
        <v>61</v>
      </c>
      <c r="Q15" s="384">
        <v>69</v>
      </c>
      <c r="R15" s="384">
        <v>73</v>
      </c>
      <c r="S15" s="384">
        <v>78</v>
      </c>
      <c r="T15" s="384">
        <v>78</v>
      </c>
      <c r="U15" s="384">
        <v>78</v>
      </c>
      <c r="V15" s="384">
        <v>78</v>
      </c>
      <c r="W15" s="384">
        <v>78</v>
      </c>
      <c r="X15" s="384">
        <v>83</v>
      </c>
      <c r="Y15" s="384">
        <v>87</v>
      </c>
      <c r="Z15" s="384">
        <v>94</v>
      </c>
      <c r="AC15" s="380">
        <v>6</v>
      </c>
      <c r="AD15" s="384">
        <v>40</v>
      </c>
      <c r="AE15" s="384">
        <v>40</v>
      </c>
      <c r="AF15" s="384">
        <v>40</v>
      </c>
      <c r="AG15" s="384">
        <v>40</v>
      </c>
      <c r="AH15" s="384">
        <v>40</v>
      </c>
      <c r="AI15" s="384">
        <v>44</v>
      </c>
      <c r="AJ15" s="384">
        <v>44</v>
      </c>
      <c r="AK15" s="384">
        <v>44</v>
      </c>
      <c r="AL15" s="384">
        <v>49</v>
      </c>
      <c r="AM15" s="384">
        <v>49</v>
      </c>
      <c r="AN15" s="384">
        <v>53</v>
      </c>
      <c r="AO15" s="384">
        <v>53</v>
      </c>
      <c r="AP15" s="384">
        <v>57</v>
      </c>
      <c r="AQ15" s="384">
        <v>61</v>
      </c>
      <c r="AR15" s="384">
        <v>61</v>
      </c>
      <c r="AS15" s="384">
        <v>69</v>
      </c>
      <c r="AT15" s="384">
        <v>73</v>
      </c>
      <c r="AU15" s="384">
        <v>78</v>
      </c>
      <c r="AV15" s="384">
        <v>78</v>
      </c>
      <c r="AW15" s="384">
        <v>78</v>
      </c>
      <c r="AX15" s="384">
        <v>78</v>
      </c>
      <c r="AY15" s="384">
        <v>78</v>
      </c>
      <c r="AZ15" s="384">
        <v>83</v>
      </c>
      <c r="BA15" s="384">
        <v>87</v>
      </c>
      <c r="BB15" s="384">
        <v>94</v>
      </c>
      <c r="BE15" s="380">
        <v>6</v>
      </c>
      <c r="BF15" s="384">
        <v>40</v>
      </c>
      <c r="BG15" s="384">
        <v>40</v>
      </c>
      <c r="BH15" s="384">
        <v>40</v>
      </c>
      <c r="BI15" s="384">
        <v>40</v>
      </c>
      <c r="BJ15" s="384">
        <v>40</v>
      </c>
      <c r="BK15" s="384">
        <v>44</v>
      </c>
      <c r="BL15" s="384">
        <v>44</v>
      </c>
      <c r="BM15" s="384">
        <v>44</v>
      </c>
      <c r="BN15" s="384">
        <v>49</v>
      </c>
      <c r="BO15" s="384">
        <v>49</v>
      </c>
      <c r="BP15" s="384">
        <v>53</v>
      </c>
      <c r="BQ15" s="384">
        <v>53</v>
      </c>
      <c r="BR15" s="384">
        <v>57</v>
      </c>
      <c r="BS15" s="384">
        <v>61</v>
      </c>
      <c r="BT15" s="384">
        <v>61</v>
      </c>
      <c r="BU15" s="384">
        <v>69</v>
      </c>
      <c r="BV15" s="384">
        <v>73</v>
      </c>
      <c r="BW15" s="384">
        <v>78</v>
      </c>
      <c r="BX15" s="384">
        <v>78</v>
      </c>
      <c r="BY15" s="384">
        <v>78</v>
      </c>
      <c r="BZ15" s="384">
        <v>78</v>
      </c>
      <c r="CA15" s="384">
        <v>78</v>
      </c>
      <c r="CB15" s="384">
        <v>83</v>
      </c>
      <c r="CC15" s="384">
        <v>87</v>
      </c>
      <c r="CD15" s="384">
        <v>94</v>
      </c>
      <c r="CG15" s="380">
        <v>6</v>
      </c>
      <c r="CH15" s="384">
        <v>40</v>
      </c>
      <c r="CI15" s="384">
        <v>40</v>
      </c>
      <c r="CJ15" s="384">
        <v>40</v>
      </c>
      <c r="CK15" s="384">
        <v>40</v>
      </c>
      <c r="CL15" s="384">
        <v>44</v>
      </c>
      <c r="CM15" s="384">
        <v>49</v>
      </c>
      <c r="CN15" s="384">
        <v>49</v>
      </c>
      <c r="CO15" s="384">
        <v>49</v>
      </c>
      <c r="CP15" s="384">
        <v>53</v>
      </c>
      <c r="CQ15" s="384">
        <v>53</v>
      </c>
      <c r="CR15" s="384">
        <v>57</v>
      </c>
      <c r="CS15" s="384">
        <v>57</v>
      </c>
      <c r="CT15" s="384">
        <v>61</v>
      </c>
      <c r="CU15" s="384">
        <v>65</v>
      </c>
      <c r="CV15" s="384">
        <v>69</v>
      </c>
      <c r="CW15" s="384">
        <v>73</v>
      </c>
      <c r="CX15" s="384">
        <v>73</v>
      </c>
      <c r="CY15" s="384">
        <v>78</v>
      </c>
      <c r="CZ15" s="384">
        <v>78</v>
      </c>
      <c r="DA15" s="384">
        <v>78</v>
      </c>
      <c r="DB15" s="384">
        <v>81</v>
      </c>
      <c r="DC15" s="384">
        <v>83</v>
      </c>
      <c r="DD15" s="384">
        <v>87</v>
      </c>
      <c r="DE15" s="384">
        <v>90</v>
      </c>
      <c r="DF15" s="384">
        <v>94</v>
      </c>
      <c r="DI15" s="380">
        <v>6</v>
      </c>
      <c r="DJ15" s="384">
        <v>40</v>
      </c>
      <c r="DK15" s="384">
        <v>40</v>
      </c>
      <c r="DL15" s="384">
        <v>44</v>
      </c>
      <c r="DM15" s="384">
        <v>44</v>
      </c>
      <c r="DN15" s="384">
        <v>49</v>
      </c>
      <c r="DO15" s="384">
        <v>49</v>
      </c>
      <c r="DP15" s="384">
        <v>49</v>
      </c>
      <c r="DQ15" s="384">
        <v>53</v>
      </c>
      <c r="DR15" s="384">
        <v>53</v>
      </c>
      <c r="DS15" s="384">
        <v>57</v>
      </c>
      <c r="DT15" s="384">
        <v>57</v>
      </c>
      <c r="DU15" s="384">
        <v>61</v>
      </c>
      <c r="DV15" s="384">
        <v>69</v>
      </c>
      <c r="DW15" s="384">
        <v>73</v>
      </c>
      <c r="DX15" s="384">
        <v>73</v>
      </c>
      <c r="DY15" s="384">
        <v>76</v>
      </c>
      <c r="DZ15" s="384">
        <v>76</v>
      </c>
      <c r="EA15" s="384">
        <v>78</v>
      </c>
      <c r="EB15" s="384">
        <v>81</v>
      </c>
      <c r="EC15" s="384">
        <v>83</v>
      </c>
      <c r="ED15" s="384">
        <v>83</v>
      </c>
      <c r="EE15" s="384">
        <v>85</v>
      </c>
      <c r="EF15" s="384">
        <v>87</v>
      </c>
      <c r="EG15" s="384">
        <v>90</v>
      </c>
      <c r="EH15" s="384">
        <v>94</v>
      </c>
    </row>
    <row r="16" spans="1:138" x14ac:dyDescent="0.15">
      <c r="A16" s="380">
        <v>7</v>
      </c>
      <c r="B16" s="385">
        <v>40</v>
      </c>
      <c r="C16" s="384">
        <v>40</v>
      </c>
      <c r="D16" s="384">
        <v>40</v>
      </c>
      <c r="E16" s="384">
        <v>40</v>
      </c>
      <c r="F16" s="384">
        <v>40</v>
      </c>
      <c r="G16" s="384">
        <v>40</v>
      </c>
      <c r="H16" s="384">
        <v>44</v>
      </c>
      <c r="I16" s="384">
        <v>44</v>
      </c>
      <c r="J16" s="384">
        <v>49</v>
      </c>
      <c r="K16" s="384">
        <v>49</v>
      </c>
      <c r="L16" s="384">
        <v>53</v>
      </c>
      <c r="M16" s="384">
        <v>53</v>
      </c>
      <c r="N16" s="384">
        <v>57</v>
      </c>
      <c r="O16" s="384">
        <v>61</v>
      </c>
      <c r="P16" s="384">
        <v>61</v>
      </c>
      <c r="Q16" s="384">
        <v>69</v>
      </c>
      <c r="R16" s="384">
        <v>73</v>
      </c>
      <c r="S16" s="384">
        <v>78</v>
      </c>
      <c r="T16" s="384">
        <v>78</v>
      </c>
      <c r="U16" s="384">
        <v>78</v>
      </c>
      <c r="V16" s="384">
        <v>78</v>
      </c>
      <c r="W16" s="384">
        <v>78</v>
      </c>
      <c r="X16" s="384">
        <v>83</v>
      </c>
      <c r="Y16" s="384">
        <v>87</v>
      </c>
      <c r="Z16" s="384">
        <v>94</v>
      </c>
      <c r="AC16" s="380">
        <v>7</v>
      </c>
      <c r="AD16" s="384">
        <v>40</v>
      </c>
      <c r="AE16" s="384">
        <v>40</v>
      </c>
      <c r="AF16" s="384">
        <v>40</v>
      </c>
      <c r="AG16" s="384">
        <v>40</v>
      </c>
      <c r="AH16" s="384">
        <v>40</v>
      </c>
      <c r="AI16" s="384">
        <v>44</v>
      </c>
      <c r="AJ16" s="384">
        <v>44</v>
      </c>
      <c r="AK16" s="384">
        <v>44</v>
      </c>
      <c r="AL16" s="384">
        <v>49</v>
      </c>
      <c r="AM16" s="384">
        <v>49</v>
      </c>
      <c r="AN16" s="384">
        <v>53</v>
      </c>
      <c r="AO16" s="384">
        <v>53</v>
      </c>
      <c r="AP16" s="384">
        <v>57</v>
      </c>
      <c r="AQ16" s="384">
        <v>61</v>
      </c>
      <c r="AR16" s="384">
        <v>61</v>
      </c>
      <c r="AS16" s="384">
        <v>69</v>
      </c>
      <c r="AT16" s="384">
        <v>73</v>
      </c>
      <c r="AU16" s="384">
        <v>78</v>
      </c>
      <c r="AV16" s="384">
        <v>78</v>
      </c>
      <c r="AW16" s="384">
        <v>78</v>
      </c>
      <c r="AX16" s="384">
        <v>78</v>
      </c>
      <c r="AY16" s="384">
        <v>78</v>
      </c>
      <c r="AZ16" s="384">
        <v>83</v>
      </c>
      <c r="BA16" s="384">
        <v>87</v>
      </c>
      <c r="BB16" s="384">
        <v>94</v>
      </c>
      <c r="BE16" s="380">
        <v>7</v>
      </c>
      <c r="BF16" s="384">
        <v>40</v>
      </c>
      <c r="BG16" s="384">
        <v>40</v>
      </c>
      <c r="BH16" s="384">
        <v>40</v>
      </c>
      <c r="BI16" s="384">
        <v>40</v>
      </c>
      <c r="BJ16" s="384">
        <v>40</v>
      </c>
      <c r="BK16" s="384">
        <v>44</v>
      </c>
      <c r="BL16" s="384">
        <v>44</v>
      </c>
      <c r="BM16" s="384">
        <v>44</v>
      </c>
      <c r="BN16" s="384">
        <v>49</v>
      </c>
      <c r="BO16" s="384">
        <v>49</v>
      </c>
      <c r="BP16" s="384">
        <v>53</v>
      </c>
      <c r="BQ16" s="384">
        <v>53</v>
      </c>
      <c r="BR16" s="384">
        <v>57</v>
      </c>
      <c r="BS16" s="384">
        <v>61</v>
      </c>
      <c r="BT16" s="384">
        <v>61</v>
      </c>
      <c r="BU16" s="384">
        <v>69</v>
      </c>
      <c r="BV16" s="384">
        <v>73</v>
      </c>
      <c r="BW16" s="384">
        <v>78</v>
      </c>
      <c r="BX16" s="384">
        <v>78</v>
      </c>
      <c r="BY16" s="384">
        <v>78</v>
      </c>
      <c r="BZ16" s="384">
        <v>78</v>
      </c>
      <c r="CA16" s="384">
        <v>78</v>
      </c>
      <c r="CB16" s="384">
        <v>83</v>
      </c>
      <c r="CC16" s="384">
        <v>87</v>
      </c>
      <c r="CD16" s="384">
        <v>94</v>
      </c>
      <c r="CG16" s="380">
        <v>7</v>
      </c>
      <c r="CH16" s="384">
        <v>40</v>
      </c>
      <c r="CI16" s="384">
        <v>40</v>
      </c>
      <c r="CJ16" s="384">
        <v>40</v>
      </c>
      <c r="CK16" s="384">
        <v>40</v>
      </c>
      <c r="CL16" s="384">
        <v>44</v>
      </c>
      <c r="CM16" s="384">
        <v>49</v>
      </c>
      <c r="CN16" s="384">
        <v>49</v>
      </c>
      <c r="CO16" s="384">
        <v>49</v>
      </c>
      <c r="CP16" s="384">
        <v>53</v>
      </c>
      <c r="CQ16" s="384">
        <v>53</v>
      </c>
      <c r="CR16" s="384">
        <v>57</v>
      </c>
      <c r="CS16" s="384">
        <v>57</v>
      </c>
      <c r="CT16" s="384">
        <v>61</v>
      </c>
      <c r="CU16" s="384">
        <v>65</v>
      </c>
      <c r="CV16" s="384">
        <v>69</v>
      </c>
      <c r="CW16" s="384">
        <v>73</v>
      </c>
      <c r="CX16" s="384">
        <v>73</v>
      </c>
      <c r="CY16" s="384">
        <v>78</v>
      </c>
      <c r="CZ16" s="384">
        <v>78</v>
      </c>
      <c r="DA16" s="384">
        <v>78</v>
      </c>
      <c r="DB16" s="384">
        <v>81</v>
      </c>
      <c r="DC16" s="384">
        <v>83</v>
      </c>
      <c r="DD16" s="384">
        <v>87</v>
      </c>
      <c r="DE16" s="384">
        <v>90</v>
      </c>
      <c r="DF16" s="384">
        <v>94</v>
      </c>
      <c r="DI16" s="380">
        <v>7</v>
      </c>
      <c r="DJ16" s="384">
        <v>40</v>
      </c>
      <c r="DK16" s="384">
        <v>40</v>
      </c>
      <c r="DL16" s="384">
        <v>44</v>
      </c>
      <c r="DM16" s="384">
        <v>44</v>
      </c>
      <c r="DN16" s="384">
        <v>49</v>
      </c>
      <c r="DO16" s="384">
        <v>49</v>
      </c>
      <c r="DP16" s="384">
        <v>49</v>
      </c>
      <c r="DQ16" s="384">
        <v>53</v>
      </c>
      <c r="DR16" s="384">
        <v>53</v>
      </c>
      <c r="DS16" s="384">
        <v>57</v>
      </c>
      <c r="DT16" s="384">
        <v>57</v>
      </c>
      <c r="DU16" s="384">
        <v>61</v>
      </c>
      <c r="DV16" s="384">
        <v>69</v>
      </c>
      <c r="DW16" s="384">
        <v>73</v>
      </c>
      <c r="DX16" s="384">
        <v>73</v>
      </c>
      <c r="DY16" s="384">
        <v>76</v>
      </c>
      <c r="DZ16" s="384">
        <v>76</v>
      </c>
      <c r="EA16" s="384">
        <v>78</v>
      </c>
      <c r="EB16" s="384">
        <v>81</v>
      </c>
      <c r="EC16" s="384">
        <v>83</v>
      </c>
      <c r="ED16" s="384">
        <v>83</v>
      </c>
      <c r="EE16" s="384">
        <v>85</v>
      </c>
      <c r="EF16" s="384">
        <v>87</v>
      </c>
      <c r="EG16" s="384">
        <v>90</v>
      </c>
      <c r="EH16" s="384">
        <v>94</v>
      </c>
    </row>
    <row r="17" spans="1:138" x14ac:dyDescent="0.15">
      <c r="A17" s="380">
        <v>8</v>
      </c>
      <c r="B17" s="385">
        <v>40</v>
      </c>
      <c r="C17" s="384">
        <v>40</v>
      </c>
      <c r="D17" s="384">
        <v>40</v>
      </c>
      <c r="E17" s="384">
        <v>40</v>
      </c>
      <c r="F17" s="384">
        <v>40</v>
      </c>
      <c r="G17" s="384">
        <v>40</v>
      </c>
      <c r="H17" s="384">
        <v>44</v>
      </c>
      <c r="I17" s="384">
        <v>44</v>
      </c>
      <c r="J17" s="384">
        <v>49</v>
      </c>
      <c r="K17" s="384">
        <v>49</v>
      </c>
      <c r="L17" s="384">
        <v>53</v>
      </c>
      <c r="M17" s="384">
        <v>53</v>
      </c>
      <c r="N17" s="384">
        <v>57</v>
      </c>
      <c r="O17" s="384">
        <v>61</v>
      </c>
      <c r="P17" s="384">
        <v>61</v>
      </c>
      <c r="Q17" s="384">
        <v>69</v>
      </c>
      <c r="R17" s="384">
        <v>73</v>
      </c>
      <c r="S17" s="384">
        <v>78</v>
      </c>
      <c r="T17" s="384">
        <v>78</v>
      </c>
      <c r="U17" s="384">
        <v>78</v>
      </c>
      <c r="V17" s="384">
        <v>78</v>
      </c>
      <c r="W17" s="384">
        <v>78</v>
      </c>
      <c r="X17" s="384">
        <v>83</v>
      </c>
      <c r="Y17" s="384">
        <v>87</v>
      </c>
      <c r="Z17" s="384">
        <v>94</v>
      </c>
      <c r="AC17" s="380">
        <v>8</v>
      </c>
      <c r="AD17" s="384">
        <v>40</v>
      </c>
      <c r="AE17" s="384">
        <v>40</v>
      </c>
      <c r="AF17" s="384">
        <v>40</v>
      </c>
      <c r="AG17" s="384">
        <v>40</v>
      </c>
      <c r="AH17" s="384">
        <v>40</v>
      </c>
      <c r="AI17" s="384">
        <v>44</v>
      </c>
      <c r="AJ17" s="384">
        <v>44</v>
      </c>
      <c r="AK17" s="384">
        <v>44</v>
      </c>
      <c r="AL17" s="384">
        <v>49</v>
      </c>
      <c r="AM17" s="384">
        <v>49</v>
      </c>
      <c r="AN17" s="384">
        <v>53</v>
      </c>
      <c r="AO17" s="384">
        <v>53</v>
      </c>
      <c r="AP17" s="384">
        <v>57</v>
      </c>
      <c r="AQ17" s="384">
        <v>61</v>
      </c>
      <c r="AR17" s="384">
        <v>61</v>
      </c>
      <c r="AS17" s="384">
        <v>69</v>
      </c>
      <c r="AT17" s="384">
        <v>73</v>
      </c>
      <c r="AU17" s="384">
        <v>78</v>
      </c>
      <c r="AV17" s="384">
        <v>78</v>
      </c>
      <c r="AW17" s="384">
        <v>78</v>
      </c>
      <c r="AX17" s="384">
        <v>78</v>
      </c>
      <c r="AY17" s="384">
        <v>78</v>
      </c>
      <c r="AZ17" s="384">
        <v>83</v>
      </c>
      <c r="BA17" s="384">
        <v>87</v>
      </c>
      <c r="BB17" s="384">
        <v>94</v>
      </c>
      <c r="BE17" s="380">
        <v>8</v>
      </c>
      <c r="BF17" s="384">
        <v>40</v>
      </c>
      <c r="BG17" s="384">
        <v>40</v>
      </c>
      <c r="BH17" s="384">
        <v>40</v>
      </c>
      <c r="BI17" s="384">
        <v>40</v>
      </c>
      <c r="BJ17" s="384">
        <v>40</v>
      </c>
      <c r="BK17" s="384">
        <v>44</v>
      </c>
      <c r="BL17" s="384">
        <v>44</v>
      </c>
      <c r="BM17" s="384">
        <v>44</v>
      </c>
      <c r="BN17" s="384">
        <v>49</v>
      </c>
      <c r="BO17" s="384">
        <v>49</v>
      </c>
      <c r="BP17" s="384">
        <v>53</v>
      </c>
      <c r="BQ17" s="384">
        <v>53</v>
      </c>
      <c r="BR17" s="384">
        <v>57</v>
      </c>
      <c r="BS17" s="384">
        <v>61</v>
      </c>
      <c r="BT17" s="384">
        <v>61</v>
      </c>
      <c r="BU17" s="384">
        <v>69</v>
      </c>
      <c r="BV17" s="384">
        <v>73</v>
      </c>
      <c r="BW17" s="384">
        <v>78</v>
      </c>
      <c r="BX17" s="384">
        <v>78</v>
      </c>
      <c r="BY17" s="384">
        <v>78</v>
      </c>
      <c r="BZ17" s="384">
        <v>78</v>
      </c>
      <c r="CA17" s="384">
        <v>78</v>
      </c>
      <c r="CB17" s="384">
        <v>83</v>
      </c>
      <c r="CC17" s="384">
        <v>87</v>
      </c>
      <c r="CD17" s="384">
        <v>94</v>
      </c>
      <c r="CG17" s="380">
        <v>8</v>
      </c>
      <c r="CH17" s="384">
        <v>40</v>
      </c>
      <c r="CI17" s="384">
        <v>40</v>
      </c>
      <c r="CJ17" s="384">
        <v>40</v>
      </c>
      <c r="CK17" s="384">
        <v>40</v>
      </c>
      <c r="CL17" s="384">
        <v>44</v>
      </c>
      <c r="CM17" s="384">
        <v>49</v>
      </c>
      <c r="CN17" s="384">
        <v>49</v>
      </c>
      <c r="CO17" s="384">
        <v>49</v>
      </c>
      <c r="CP17" s="384">
        <v>53</v>
      </c>
      <c r="CQ17" s="384">
        <v>53</v>
      </c>
      <c r="CR17" s="384">
        <v>57</v>
      </c>
      <c r="CS17" s="384">
        <v>57</v>
      </c>
      <c r="CT17" s="384">
        <v>61</v>
      </c>
      <c r="CU17" s="384">
        <v>65</v>
      </c>
      <c r="CV17" s="384">
        <v>69</v>
      </c>
      <c r="CW17" s="384">
        <v>73</v>
      </c>
      <c r="CX17" s="384">
        <v>73</v>
      </c>
      <c r="CY17" s="384">
        <v>78</v>
      </c>
      <c r="CZ17" s="384">
        <v>78</v>
      </c>
      <c r="DA17" s="384">
        <v>78</v>
      </c>
      <c r="DB17" s="384">
        <v>81</v>
      </c>
      <c r="DC17" s="384">
        <v>83</v>
      </c>
      <c r="DD17" s="384">
        <v>87</v>
      </c>
      <c r="DE17" s="384">
        <v>90</v>
      </c>
      <c r="DF17" s="384">
        <v>94</v>
      </c>
      <c r="DI17" s="380">
        <v>8</v>
      </c>
      <c r="DJ17" s="384">
        <v>40</v>
      </c>
      <c r="DK17" s="384">
        <v>40</v>
      </c>
      <c r="DL17" s="384">
        <v>44</v>
      </c>
      <c r="DM17" s="384">
        <v>44</v>
      </c>
      <c r="DN17" s="384">
        <v>49</v>
      </c>
      <c r="DO17" s="384">
        <v>49</v>
      </c>
      <c r="DP17" s="384">
        <v>49</v>
      </c>
      <c r="DQ17" s="384">
        <v>53</v>
      </c>
      <c r="DR17" s="384">
        <v>53</v>
      </c>
      <c r="DS17" s="384">
        <v>57</v>
      </c>
      <c r="DT17" s="384">
        <v>57</v>
      </c>
      <c r="DU17" s="384">
        <v>61</v>
      </c>
      <c r="DV17" s="384">
        <v>69</v>
      </c>
      <c r="DW17" s="384">
        <v>73</v>
      </c>
      <c r="DX17" s="384">
        <v>73</v>
      </c>
      <c r="DY17" s="384">
        <v>76</v>
      </c>
      <c r="DZ17" s="384">
        <v>76</v>
      </c>
      <c r="EA17" s="384">
        <v>78</v>
      </c>
      <c r="EB17" s="384">
        <v>81</v>
      </c>
      <c r="EC17" s="384">
        <v>83</v>
      </c>
      <c r="ED17" s="384">
        <v>83</v>
      </c>
      <c r="EE17" s="384">
        <v>85</v>
      </c>
      <c r="EF17" s="384">
        <v>87</v>
      </c>
      <c r="EG17" s="384">
        <v>90</v>
      </c>
      <c r="EH17" s="384">
        <v>94</v>
      </c>
    </row>
    <row r="18" spans="1:138" x14ac:dyDescent="0.15">
      <c r="A18" s="380">
        <v>9</v>
      </c>
      <c r="B18" s="385">
        <v>40</v>
      </c>
      <c r="C18" s="384">
        <v>40</v>
      </c>
      <c r="D18" s="384">
        <v>40</v>
      </c>
      <c r="E18" s="384">
        <v>40</v>
      </c>
      <c r="F18" s="384">
        <v>40</v>
      </c>
      <c r="G18" s="384">
        <v>40</v>
      </c>
      <c r="H18" s="384">
        <v>44</v>
      </c>
      <c r="I18" s="384">
        <v>44</v>
      </c>
      <c r="J18" s="384">
        <v>49</v>
      </c>
      <c r="K18" s="384">
        <v>49</v>
      </c>
      <c r="L18" s="384">
        <v>53</v>
      </c>
      <c r="M18" s="384">
        <v>53</v>
      </c>
      <c r="N18" s="384">
        <v>57</v>
      </c>
      <c r="O18" s="384">
        <v>61</v>
      </c>
      <c r="P18" s="384">
        <v>61</v>
      </c>
      <c r="Q18" s="384">
        <v>69</v>
      </c>
      <c r="R18" s="384">
        <v>73</v>
      </c>
      <c r="S18" s="384">
        <v>78</v>
      </c>
      <c r="T18" s="384">
        <v>78</v>
      </c>
      <c r="U18" s="384">
        <v>78</v>
      </c>
      <c r="V18" s="384">
        <v>78</v>
      </c>
      <c r="W18" s="384">
        <v>78</v>
      </c>
      <c r="X18" s="384">
        <v>83</v>
      </c>
      <c r="Y18" s="384">
        <v>87</v>
      </c>
      <c r="Z18" s="384">
        <v>94</v>
      </c>
      <c r="AC18" s="380">
        <v>9</v>
      </c>
      <c r="AD18" s="384">
        <v>40</v>
      </c>
      <c r="AE18" s="384">
        <v>40</v>
      </c>
      <c r="AF18" s="384">
        <v>40</v>
      </c>
      <c r="AG18" s="384">
        <v>40</v>
      </c>
      <c r="AH18" s="384">
        <v>40</v>
      </c>
      <c r="AI18" s="384">
        <v>44</v>
      </c>
      <c r="AJ18" s="384">
        <v>44</v>
      </c>
      <c r="AK18" s="384">
        <v>44</v>
      </c>
      <c r="AL18" s="384">
        <v>49</v>
      </c>
      <c r="AM18" s="384">
        <v>49</v>
      </c>
      <c r="AN18" s="384">
        <v>53</v>
      </c>
      <c r="AO18" s="384">
        <v>53</v>
      </c>
      <c r="AP18" s="384">
        <v>57</v>
      </c>
      <c r="AQ18" s="384">
        <v>61</v>
      </c>
      <c r="AR18" s="384">
        <v>61</v>
      </c>
      <c r="AS18" s="384">
        <v>69</v>
      </c>
      <c r="AT18" s="384">
        <v>73</v>
      </c>
      <c r="AU18" s="384">
        <v>78</v>
      </c>
      <c r="AV18" s="384">
        <v>78</v>
      </c>
      <c r="AW18" s="384">
        <v>78</v>
      </c>
      <c r="AX18" s="384">
        <v>78</v>
      </c>
      <c r="AY18" s="384">
        <v>78</v>
      </c>
      <c r="AZ18" s="384">
        <v>83</v>
      </c>
      <c r="BA18" s="384">
        <v>87</v>
      </c>
      <c r="BB18" s="384">
        <v>94</v>
      </c>
      <c r="BE18" s="380">
        <v>9</v>
      </c>
      <c r="BF18" s="384">
        <v>40</v>
      </c>
      <c r="BG18" s="384">
        <v>40</v>
      </c>
      <c r="BH18" s="384">
        <v>40</v>
      </c>
      <c r="BI18" s="384">
        <v>40</v>
      </c>
      <c r="BJ18" s="384">
        <v>40</v>
      </c>
      <c r="BK18" s="384">
        <v>44</v>
      </c>
      <c r="BL18" s="384">
        <v>44</v>
      </c>
      <c r="BM18" s="384">
        <v>44</v>
      </c>
      <c r="BN18" s="384">
        <v>49</v>
      </c>
      <c r="BO18" s="384">
        <v>49</v>
      </c>
      <c r="BP18" s="384">
        <v>53</v>
      </c>
      <c r="BQ18" s="384">
        <v>53</v>
      </c>
      <c r="BR18" s="384">
        <v>57</v>
      </c>
      <c r="BS18" s="384">
        <v>61</v>
      </c>
      <c r="BT18" s="384">
        <v>61</v>
      </c>
      <c r="BU18" s="384">
        <v>69</v>
      </c>
      <c r="BV18" s="384">
        <v>73</v>
      </c>
      <c r="BW18" s="384">
        <v>78</v>
      </c>
      <c r="BX18" s="384">
        <v>78</v>
      </c>
      <c r="BY18" s="384">
        <v>78</v>
      </c>
      <c r="BZ18" s="384">
        <v>78</v>
      </c>
      <c r="CA18" s="384">
        <v>78</v>
      </c>
      <c r="CB18" s="384">
        <v>83</v>
      </c>
      <c r="CC18" s="384">
        <v>87</v>
      </c>
      <c r="CD18" s="384">
        <v>94</v>
      </c>
      <c r="CG18" s="380">
        <v>9</v>
      </c>
      <c r="CH18" s="384">
        <v>40</v>
      </c>
      <c r="CI18" s="384">
        <v>40</v>
      </c>
      <c r="CJ18" s="384">
        <v>40</v>
      </c>
      <c r="CK18" s="384">
        <v>40</v>
      </c>
      <c r="CL18" s="384">
        <v>44</v>
      </c>
      <c r="CM18" s="384">
        <v>49</v>
      </c>
      <c r="CN18" s="384">
        <v>49</v>
      </c>
      <c r="CO18" s="384">
        <v>49</v>
      </c>
      <c r="CP18" s="384">
        <v>53</v>
      </c>
      <c r="CQ18" s="384">
        <v>53</v>
      </c>
      <c r="CR18" s="384">
        <v>57</v>
      </c>
      <c r="CS18" s="384">
        <v>57</v>
      </c>
      <c r="CT18" s="384">
        <v>61</v>
      </c>
      <c r="CU18" s="384">
        <v>65</v>
      </c>
      <c r="CV18" s="384">
        <v>69</v>
      </c>
      <c r="CW18" s="384">
        <v>73</v>
      </c>
      <c r="CX18" s="384">
        <v>73</v>
      </c>
      <c r="CY18" s="384">
        <v>78</v>
      </c>
      <c r="CZ18" s="384">
        <v>78</v>
      </c>
      <c r="DA18" s="384">
        <v>78</v>
      </c>
      <c r="DB18" s="384">
        <v>81</v>
      </c>
      <c r="DC18" s="384">
        <v>83</v>
      </c>
      <c r="DD18" s="384">
        <v>87</v>
      </c>
      <c r="DE18" s="384">
        <v>90</v>
      </c>
      <c r="DF18" s="384">
        <v>94</v>
      </c>
      <c r="DI18" s="380">
        <v>9</v>
      </c>
      <c r="DJ18" s="384">
        <v>44</v>
      </c>
      <c r="DK18" s="384">
        <v>44</v>
      </c>
      <c r="DL18" s="384">
        <v>49</v>
      </c>
      <c r="DM18" s="384">
        <v>49</v>
      </c>
      <c r="DN18" s="384">
        <v>53</v>
      </c>
      <c r="DO18" s="384">
        <v>53</v>
      </c>
      <c r="DP18" s="384">
        <v>53</v>
      </c>
      <c r="DQ18" s="384">
        <v>57</v>
      </c>
      <c r="DR18" s="384">
        <v>57</v>
      </c>
      <c r="DS18" s="384">
        <v>61</v>
      </c>
      <c r="DT18" s="384">
        <v>61</v>
      </c>
      <c r="DU18" s="384">
        <v>65</v>
      </c>
      <c r="DV18" s="384">
        <v>73</v>
      </c>
      <c r="DW18" s="384">
        <v>76</v>
      </c>
      <c r="DX18" s="384">
        <v>76</v>
      </c>
      <c r="DY18" s="384">
        <v>78</v>
      </c>
      <c r="DZ18" s="384">
        <v>78</v>
      </c>
      <c r="EA18" s="384">
        <v>81</v>
      </c>
      <c r="EB18" s="384">
        <v>83</v>
      </c>
      <c r="EC18" s="384">
        <v>85</v>
      </c>
      <c r="ED18" s="384">
        <v>85</v>
      </c>
      <c r="EE18" s="384">
        <v>87</v>
      </c>
      <c r="EF18" s="384">
        <v>90</v>
      </c>
      <c r="EG18" s="384">
        <v>94</v>
      </c>
      <c r="EH18" s="384">
        <v>97</v>
      </c>
    </row>
    <row r="19" spans="1:138" x14ac:dyDescent="0.15">
      <c r="A19" s="380">
        <v>10</v>
      </c>
      <c r="B19" s="385">
        <v>40</v>
      </c>
      <c r="C19" s="384">
        <v>40</v>
      </c>
      <c r="D19" s="384">
        <v>40</v>
      </c>
      <c r="E19" s="384">
        <v>40</v>
      </c>
      <c r="F19" s="384">
        <v>40</v>
      </c>
      <c r="G19" s="384">
        <v>40</v>
      </c>
      <c r="H19" s="384">
        <v>44</v>
      </c>
      <c r="I19" s="384">
        <v>44</v>
      </c>
      <c r="J19" s="384">
        <v>49</v>
      </c>
      <c r="K19" s="384">
        <v>49</v>
      </c>
      <c r="L19" s="384">
        <v>53</v>
      </c>
      <c r="M19" s="384">
        <v>53</v>
      </c>
      <c r="N19" s="384">
        <v>57</v>
      </c>
      <c r="O19" s="384">
        <v>61</v>
      </c>
      <c r="P19" s="384">
        <v>61</v>
      </c>
      <c r="Q19" s="384">
        <v>69</v>
      </c>
      <c r="R19" s="384">
        <v>73</v>
      </c>
      <c r="S19" s="384">
        <v>78</v>
      </c>
      <c r="T19" s="384">
        <v>78</v>
      </c>
      <c r="U19" s="384">
        <v>78</v>
      </c>
      <c r="V19" s="384">
        <v>78</v>
      </c>
      <c r="W19" s="384">
        <v>78</v>
      </c>
      <c r="X19" s="384">
        <v>83</v>
      </c>
      <c r="Y19" s="384">
        <v>87</v>
      </c>
      <c r="Z19" s="384">
        <v>94</v>
      </c>
      <c r="AC19" s="380">
        <v>10</v>
      </c>
      <c r="AD19" s="384">
        <v>40</v>
      </c>
      <c r="AE19" s="384">
        <v>40</v>
      </c>
      <c r="AF19" s="384">
        <v>40</v>
      </c>
      <c r="AG19" s="384">
        <v>40</v>
      </c>
      <c r="AH19" s="384">
        <v>40</v>
      </c>
      <c r="AI19" s="384">
        <v>44</v>
      </c>
      <c r="AJ19" s="384">
        <v>44</v>
      </c>
      <c r="AK19" s="384">
        <v>44</v>
      </c>
      <c r="AL19" s="384">
        <v>49</v>
      </c>
      <c r="AM19" s="384">
        <v>49</v>
      </c>
      <c r="AN19" s="384">
        <v>53</v>
      </c>
      <c r="AO19" s="384">
        <v>53</v>
      </c>
      <c r="AP19" s="384">
        <v>57</v>
      </c>
      <c r="AQ19" s="384">
        <v>61</v>
      </c>
      <c r="AR19" s="384">
        <v>61</v>
      </c>
      <c r="AS19" s="384">
        <v>69</v>
      </c>
      <c r="AT19" s="384">
        <v>73</v>
      </c>
      <c r="AU19" s="384">
        <v>78</v>
      </c>
      <c r="AV19" s="384">
        <v>78</v>
      </c>
      <c r="AW19" s="384">
        <v>78</v>
      </c>
      <c r="AX19" s="384">
        <v>78</v>
      </c>
      <c r="AY19" s="384">
        <v>78</v>
      </c>
      <c r="AZ19" s="384">
        <v>83</v>
      </c>
      <c r="BA19" s="384">
        <v>87</v>
      </c>
      <c r="BB19" s="384">
        <v>94</v>
      </c>
      <c r="BE19" s="380">
        <v>10</v>
      </c>
      <c r="BF19" s="384">
        <v>40</v>
      </c>
      <c r="BG19" s="384">
        <v>40</v>
      </c>
      <c r="BH19" s="384">
        <v>40</v>
      </c>
      <c r="BI19" s="384">
        <v>40</v>
      </c>
      <c r="BJ19" s="384">
        <v>40</v>
      </c>
      <c r="BK19" s="384">
        <v>44</v>
      </c>
      <c r="BL19" s="384">
        <v>44</v>
      </c>
      <c r="BM19" s="384">
        <v>44</v>
      </c>
      <c r="BN19" s="384">
        <v>49</v>
      </c>
      <c r="BO19" s="384">
        <v>49</v>
      </c>
      <c r="BP19" s="384">
        <v>53</v>
      </c>
      <c r="BQ19" s="384">
        <v>53</v>
      </c>
      <c r="BR19" s="384">
        <v>57</v>
      </c>
      <c r="BS19" s="384">
        <v>61</v>
      </c>
      <c r="BT19" s="384">
        <v>61</v>
      </c>
      <c r="BU19" s="384">
        <v>69</v>
      </c>
      <c r="BV19" s="384">
        <v>73</v>
      </c>
      <c r="BW19" s="384">
        <v>78</v>
      </c>
      <c r="BX19" s="384">
        <v>78</v>
      </c>
      <c r="BY19" s="384">
        <v>78</v>
      </c>
      <c r="BZ19" s="384">
        <v>78</v>
      </c>
      <c r="CA19" s="384">
        <v>78</v>
      </c>
      <c r="CB19" s="384">
        <v>83</v>
      </c>
      <c r="CC19" s="384">
        <v>87</v>
      </c>
      <c r="CD19" s="384">
        <v>94</v>
      </c>
      <c r="CG19" s="380">
        <v>10</v>
      </c>
      <c r="CH19" s="384">
        <v>44</v>
      </c>
      <c r="CI19" s="384">
        <v>44</v>
      </c>
      <c r="CJ19" s="384">
        <v>44</v>
      </c>
      <c r="CK19" s="384">
        <v>44</v>
      </c>
      <c r="CL19" s="384">
        <v>49</v>
      </c>
      <c r="CM19" s="384">
        <v>53</v>
      </c>
      <c r="CN19" s="384">
        <v>53</v>
      </c>
      <c r="CO19" s="384">
        <v>53</v>
      </c>
      <c r="CP19" s="384">
        <v>57</v>
      </c>
      <c r="CQ19" s="384">
        <v>57</v>
      </c>
      <c r="CR19" s="384">
        <v>61</v>
      </c>
      <c r="CS19" s="384">
        <v>61</v>
      </c>
      <c r="CT19" s="384">
        <v>65</v>
      </c>
      <c r="CU19" s="384">
        <v>69</v>
      </c>
      <c r="CV19" s="384">
        <v>73</v>
      </c>
      <c r="CW19" s="384">
        <v>76</v>
      </c>
      <c r="CX19" s="384">
        <v>76</v>
      </c>
      <c r="CY19" s="384">
        <v>81</v>
      </c>
      <c r="CZ19" s="384">
        <v>81</v>
      </c>
      <c r="DA19" s="384">
        <v>81</v>
      </c>
      <c r="DB19" s="384">
        <v>83</v>
      </c>
      <c r="DC19" s="384">
        <v>85</v>
      </c>
      <c r="DD19" s="384">
        <v>90</v>
      </c>
      <c r="DE19" s="384">
        <v>94</v>
      </c>
      <c r="DF19" s="384">
        <v>97</v>
      </c>
      <c r="DI19" s="380">
        <v>10</v>
      </c>
      <c r="DJ19" s="384">
        <v>44</v>
      </c>
      <c r="DK19" s="384">
        <v>44</v>
      </c>
      <c r="DL19" s="384">
        <v>49</v>
      </c>
      <c r="DM19" s="384">
        <v>49</v>
      </c>
      <c r="DN19" s="384">
        <v>53</v>
      </c>
      <c r="DO19" s="384">
        <v>53</v>
      </c>
      <c r="DP19" s="384">
        <v>53</v>
      </c>
      <c r="DQ19" s="384">
        <v>57</v>
      </c>
      <c r="DR19" s="384">
        <v>57</v>
      </c>
      <c r="DS19" s="384">
        <v>61</v>
      </c>
      <c r="DT19" s="384">
        <v>61</v>
      </c>
      <c r="DU19" s="384">
        <v>65</v>
      </c>
      <c r="DV19" s="384">
        <v>73</v>
      </c>
      <c r="DW19" s="384">
        <v>76</v>
      </c>
      <c r="DX19" s="384">
        <v>76</v>
      </c>
      <c r="DY19" s="384">
        <v>78</v>
      </c>
      <c r="DZ19" s="384">
        <v>78</v>
      </c>
      <c r="EA19" s="384">
        <v>81</v>
      </c>
      <c r="EB19" s="384">
        <v>83</v>
      </c>
      <c r="EC19" s="384">
        <v>85</v>
      </c>
      <c r="ED19" s="384">
        <v>85</v>
      </c>
      <c r="EE19" s="384">
        <v>87</v>
      </c>
      <c r="EF19" s="384">
        <v>90</v>
      </c>
      <c r="EG19" s="384">
        <v>94</v>
      </c>
      <c r="EH19" s="384">
        <v>97</v>
      </c>
    </row>
    <row r="20" spans="1:138" x14ac:dyDescent="0.15">
      <c r="A20" s="380">
        <v>11</v>
      </c>
      <c r="B20" s="385">
        <v>40</v>
      </c>
      <c r="C20" s="384">
        <v>40</v>
      </c>
      <c r="D20" s="384">
        <v>40</v>
      </c>
      <c r="E20" s="384">
        <v>40</v>
      </c>
      <c r="F20" s="384">
        <v>40</v>
      </c>
      <c r="G20" s="384">
        <v>40</v>
      </c>
      <c r="H20" s="384">
        <v>44</v>
      </c>
      <c r="I20" s="384">
        <v>44</v>
      </c>
      <c r="J20" s="384">
        <v>49</v>
      </c>
      <c r="K20" s="384">
        <v>49</v>
      </c>
      <c r="L20" s="384">
        <v>53</v>
      </c>
      <c r="M20" s="384">
        <v>53</v>
      </c>
      <c r="N20" s="384">
        <v>57</v>
      </c>
      <c r="O20" s="384">
        <v>61</v>
      </c>
      <c r="P20" s="384">
        <v>61</v>
      </c>
      <c r="Q20" s="384">
        <v>69</v>
      </c>
      <c r="R20" s="384">
        <v>73</v>
      </c>
      <c r="S20" s="384">
        <v>78</v>
      </c>
      <c r="T20" s="384">
        <v>78</v>
      </c>
      <c r="U20" s="384">
        <v>78</v>
      </c>
      <c r="V20" s="384">
        <v>78</v>
      </c>
      <c r="W20" s="384">
        <v>78</v>
      </c>
      <c r="X20" s="384">
        <v>83</v>
      </c>
      <c r="Y20" s="384">
        <v>87</v>
      </c>
      <c r="Z20" s="384">
        <v>94</v>
      </c>
      <c r="AC20" s="380">
        <v>11</v>
      </c>
      <c r="AD20" s="384">
        <v>40</v>
      </c>
      <c r="AE20" s="384">
        <v>40</v>
      </c>
      <c r="AF20" s="384">
        <v>40</v>
      </c>
      <c r="AG20" s="384">
        <v>40</v>
      </c>
      <c r="AH20" s="384">
        <v>40</v>
      </c>
      <c r="AI20" s="384">
        <v>44</v>
      </c>
      <c r="AJ20" s="384">
        <v>44</v>
      </c>
      <c r="AK20" s="384">
        <v>44</v>
      </c>
      <c r="AL20" s="384">
        <v>49</v>
      </c>
      <c r="AM20" s="384">
        <v>49</v>
      </c>
      <c r="AN20" s="384">
        <v>53</v>
      </c>
      <c r="AO20" s="384">
        <v>53</v>
      </c>
      <c r="AP20" s="384">
        <v>57</v>
      </c>
      <c r="AQ20" s="384">
        <v>61</v>
      </c>
      <c r="AR20" s="384">
        <v>61</v>
      </c>
      <c r="AS20" s="384">
        <v>69</v>
      </c>
      <c r="AT20" s="384">
        <v>73</v>
      </c>
      <c r="AU20" s="384">
        <v>78</v>
      </c>
      <c r="AV20" s="384">
        <v>78</v>
      </c>
      <c r="AW20" s="384">
        <v>78</v>
      </c>
      <c r="AX20" s="384">
        <v>78</v>
      </c>
      <c r="AY20" s="384">
        <v>78</v>
      </c>
      <c r="AZ20" s="384">
        <v>83</v>
      </c>
      <c r="BA20" s="384">
        <v>87</v>
      </c>
      <c r="BB20" s="384">
        <v>94</v>
      </c>
      <c r="BE20" s="380">
        <v>11</v>
      </c>
      <c r="BF20" s="384">
        <v>44</v>
      </c>
      <c r="BG20" s="384">
        <v>44</v>
      </c>
      <c r="BH20" s="384">
        <v>44</v>
      </c>
      <c r="BI20" s="384">
        <v>44</v>
      </c>
      <c r="BJ20" s="384">
        <v>44</v>
      </c>
      <c r="BK20" s="384">
        <v>49</v>
      </c>
      <c r="BL20" s="384">
        <v>49</v>
      </c>
      <c r="BM20" s="384">
        <v>49</v>
      </c>
      <c r="BN20" s="384">
        <v>53</v>
      </c>
      <c r="BO20" s="384">
        <v>53</v>
      </c>
      <c r="BP20" s="384">
        <v>57</v>
      </c>
      <c r="BQ20" s="384">
        <v>57</v>
      </c>
      <c r="BR20" s="384">
        <v>61</v>
      </c>
      <c r="BS20" s="384">
        <v>65</v>
      </c>
      <c r="BT20" s="384">
        <v>65</v>
      </c>
      <c r="BU20" s="384">
        <v>73</v>
      </c>
      <c r="BV20" s="384">
        <v>76</v>
      </c>
      <c r="BW20" s="384">
        <v>81</v>
      </c>
      <c r="BX20" s="384">
        <v>81</v>
      </c>
      <c r="BY20" s="384">
        <v>81</v>
      </c>
      <c r="BZ20" s="384">
        <v>81</v>
      </c>
      <c r="CA20" s="384">
        <v>81</v>
      </c>
      <c r="CB20" s="384">
        <v>85</v>
      </c>
      <c r="CC20" s="384">
        <v>90</v>
      </c>
      <c r="CD20" s="384">
        <v>97</v>
      </c>
      <c r="CG20" s="380">
        <v>11</v>
      </c>
      <c r="CH20" s="384">
        <v>44</v>
      </c>
      <c r="CI20" s="384">
        <v>44</v>
      </c>
      <c r="CJ20" s="384">
        <v>44</v>
      </c>
      <c r="CK20" s="384">
        <v>44</v>
      </c>
      <c r="CL20" s="384">
        <v>49</v>
      </c>
      <c r="CM20" s="384">
        <v>53</v>
      </c>
      <c r="CN20" s="384">
        <v>53</v>
      </c>
      <c r="CO20" s="384">
        <v>53</v>
      </c>
      <c r="CP20" s="384">
        <v>57</v>
      </c>
      <c r="CQ20" s="384">
        <v>57</v>
      </c>
      <c r="CR20" s="384">
        <v>61</v>
      </c>
      <c r="CS20" s="384">
        <v>61</v>
      </c>
      <c r="CT20" s="384">
        <v>65</v>
      </c>
      <c r="CU20" s="384">
        <v>69</v>
      </c>
      <c r="CV20" s="384">
        <v>73</v>
      </c>
      <c r="CW20" s="384">
        <v>76</v>
      </c>
      <c r="CX20" s="384">
        <v>76</v>
      </c>
      <c r="CY20" s="384">
        <v>81</v>
      </c>
      <c r="CZ20" s="384">
        <v>81</v>
      </c>
      <c r="DA20" s="384">
        <v>81</v>
      </c>
      <c r="DB20" s="384">
        <v>83</v>
      </c>
      <c r="DC20" s="384">
        <v>85</v>
      </c>
      <c r="DD20" s="384">
        <v>90</v>
      </c>
      <c r="DE20" s="384">
        <v>94</v>
      </c>
      <c r="DF20" s="384">
        <v>97</v>
      </c>
      <c r="DI20" s="380">
        <v>11</v>
      </c>
      <c r="DJ20" s="384">
        <v>44</v>
      </c>
      <c r="DK20" s="384">
        <v>44</v>
      </c>
      <c r="DL20" s="384">
        <v>49</v>
      </c>
      <c r="DM20" s="384">
        <v>49</v>
      </c>
      <c r="DN20" s="384">
        <v>53</v>
      </c>
      <c r="DO20" s="384">
        <v>53</v>
      </c>
      <c r="DP20" s="384">
        <v>53</v>
      </c>
      <c r="DQ20" s="384">
        <v>57</v>
      </c>
      <c r="DR20" s="384">
        <v>57</v>
      </c>
      <c r="DS20" s="384">
        <v>61</v>
      </c>
      <c r="DT20" s="384">
        <v>61</v>
      </c>
      <c r="DU20" s="384">
        <v>65</v>
      </c>
      <c r="DV20" s="384">
        <v>73</v>
      </c>
      <c r="DW20" s="384">
        <v>76</v>
      </c>
      <c r="DX20" s="384">
        <v>76</v>
      </c>
      <c r="DY20" s="384">
        <v>78</v>
      </c>
      <c r="DZ20" s="384">
        <v>78</v>
      </c>
      <c r="EA20" s="384">
        <v>81</v>
      </c>
      <c r="EB20" s="384">
        <v>83</v>
      </c>
      <c r="EC20" s="384">
        <v>85</v>
      </c>
      <c r="ED20" s="384">
        <v>85</v>
      </c>
      <c r="EE20" s="384">
        <v>87</v>
      </c>
      <c r="EF20" s="384">
        <v>90</v>
      </c>
      <c r="EG20" s="384">
        <v>94</v>
      </c>
      <c r="EH20" s="384">
        <v>97</v>
      </c>
    </row>
    <row r="21" spans="1:138" x14ac:dyDescent="0.15">
      <c r="A21" s="380">
        <v>12</v>
      </c>
      <c r="B21" s="385">
        <v>44</v>
      </c>
      <c r="C21" s="384">
        <v>44</v>
      </c>
      <c r="D21" s="384">
        <v>44</v>
      </c>
      <c r="E21" s="384">
        <v>44</v>
      </c>
      <c r="F21" s="384">
        <v>44</v>
      </c>
      <c r="G21" s="384">
        <v>44</v>
      </c>
      <c r="H21" s="384">
        <v>49</v>
      </c>
      <c r="I21" s="384">
        <v>49</v>
      </c>
      <c r="J21" s="384">
        <v>53</v>
      </c>
      <c r="K21" s="384">
        <v>53</v>
      </c>
      <c r="L21" s="384">
        <v>57</v>
      </c>
      <c r="M21" s="384">
        <v>57</v>
      </c>
      <c r="N21" s="384">
        <v>61</v>
      </c>
      <c r="O21" s="384">
        <v>65</v>
      </c>
      <c r="P21" s="384">
        <v>65</v>
      </c>
      <c r="Q21" s="384">
        <v>73</v>
      </c>
      <c r="R21" s="384">
        <v>76</v>
      </c>
      <c r="S21" s="384">
        <v>81</v>
      </c>
      <c r="T21" s="384">
        <v>81</v>
      </c>
      <c r="U21" s="384">
        <v>81</v>
      </c>
      <c r="V21" s="384">
        <v>81</v>
      </c>
      <c r="W21" s="384">
        <v>81</v>
      </c>
      <c r="X21" s="384">
        <v>85</v>
      </c>
      <c r="Y21" s="384">
        <v>90</v>
      </c>
      <c r="Z21" s="384">
        <v>97</v>
      </c>
      <c r="AC21" s="380">
        <v>12</v>
      </c>
      <c r="AD21" s="384">
        <v>44</v>
      </c>
      <c r="AE21" s="384">
        <v>44</v>
      </c>
      <c r="AF21" s="384">
        <v>44</v>
      </c>
      <c r="AG21" s="384">
        <v>44</v>
      </c>
      <c r="AH21" s="384">
        <v>44</v>
      </c>
      <c r="AI21" s="384">
        <v>49</v>
      </c>
      <c r="AJ21" s="384">
        <v>49</v>
      </c>
      <c r="AK21" s="384">
        <v>49</v>
      </c>
      <c r="AL21" s="384">
        <v>53</v>
      </c>
      <c r="AM21" s="384">
        <v>53</v>
      </c>
      <c r="AN21" s="384">
        <v>57</v>
      </c>
      <c r="AO21" s="384">
        <v>57</v>
      </c>
      <c r="AP21" s="384">
        <v>61</v>
      </c>
      <c r="AQ21" s="384">
        <v>65</v>
      </c>
      <c r="AR21" s="384">
        <v>65</v>
      </c>
      <c r="AS21" s="384">
        <v>73</v>
      </c>
      <c r="AT21" s="384">
        <v>76</v>
      </c>
      <c r="AU21" s="384">
        <v>81</v>
      </c>
      <c r="AV21" s="384">
        <v>81</v>
      </c>
      <c r="AW21" s="384">
        <v>81</v>
      </c>
      <c r="AX21" s="384">
        <v>81</v>
      </c>
      <c r="AY21" s="384">
        <v>81</v>
      </c>
      <c r="AZ21" s="384">
        <v>85</v>
      </c>
      <c r="BA21" s="384">
        <v>90</v>
      </c>
      <c r="BB21" s="384">
        <v>97</v>
      </c>
      <c r="BE21" s="380">
        <v>12</v>
      </c>
      <c r="BF21" s="384">
        <v>44</v>
      </c>
      <c r="BG21" s="384">
        <v>44</v>
      </c>
      <c r="BH21" s="384">
        <v>44</v>
      </c>
      <c r="BI21" s="384">
        <v>44</v>
      </c>
      <c r="BJ21" s="384">
        <v>44</v>
      </c>
      <c r="BK21" s="384">
        <v>49</v>
      </c>
      <c r="BL21" s="384">
        <v>49</v>
      </c>
      <c r="BM21" s="384">
        <v>49</v>
      </c>
      <c r="BN21" s="384">
        <v>53</v>
      </c>
      <c r="BO21" s="384">
        <v>53</v>
      </c>
      <c r="BP21" s="384">
        <v>57</v>
      </c>
      <c r="BQ21" s="384">
        <v>57</v>
      </c>
      <c r="BR21" s="384">
        <v>61</v>
      </c>
      <c r="BS21" s="384">
        <v>65</v>
      </c>
      <c r="BT21" s="384">
        <v>65</v>
      </c>
      <c r="BU21" s="384">
        <v>73</v>
      </c>
      <c r="BV21" s="384">
        <v>76</v>
      </c>
      <c r="BW21" s="384">
        <v>81</v>
      </c>
      <c r="BX21" s="384">
        <v>81</v>
      </c>
      <c r="BY21" s="384">
        <v>81</v>
      </c>
      <c r="BZ21" s="384">
        <v>81</v>
      </c>
      <c r="CA21" s="384">
        <v>81</v>
      </c>
      <c r="CB21" s="384">
        <v>85</v>
      </c>
      <c r="CC21" s="384">
        <v>90</v>
      </c>
      <c r="CD21" s="384">
        <v>97</v>
      </c>
      <c r="CG21" s="380">
        <v>12</v>
      </c>
      <c r="CH21" s="384">
        <v>44</v>
      </c>
      <c r="CI21" s="384">
        <v>44</v>
      </c>
      <c r="CJ21" s="384">
        <v>44</v>
      </c>
      <c r="CK21" s="384">
        <v>44</v>
      </c>
      <c r="CL21" s="384">
        <v>49</v>
      </c>
      <c r="CM21" s="384">
        <v>53</v>
      </c>
      <c r="CN21" s="384">
        <v>53</v>
      </c>
      <c r="CO21" s="384">
        <v>53</v>
      </c>
      <c r="CP21" s="384">
        <v>57</v>
      </c>
      <c r="CQ21" s="384">
        <v>57</v>
      </c>
      <c r="CR21" s="384">
        <v>61</v>
      </c>
      <c r="CS21" s="384">
        <v>61</v>
      </c>
      <c r="CT21" s="384">
        <v>65</v>
      </c>
      <c r="CU21" s="384">
        <v>69</v>
      </c>
      <c r="CV21" s="384">
        <v>73</v>
      </c>
      <c r="CW21" s="384">
        <v>76</v>
      </c>
      <c r="CX21" s="384">
        <v>76</v>
      </c>
      <c r="CY21" s="384">
        <v>81</v>
      </c>
      <c r="CZ21" s="384">
        <v>81</v>
      </c>
      <c r="DA21" s="384">
        <v>81</v>
      </c>
      <c r="DB21" s="384">
        <v>83</v>
      </c>
      <c r="DC21" s="384">
        <v>85</v>
      </c>
      <c r="DD21" s="384">
        <v>90</v>
      </c>
      <c r="DE21" s="384">
        <v>94</v>
      </c>
      <c r="DF21" s="384">
        <v>97</v>
      </c>
      <c r="DI21" s="380">
        <v>12</v>
      </c>
      <c r="DJ21" s="384">
        <v>44</v>
      </c>
      <c r="DK21" s="384">
        <v>44</v>
      </c>
      <c r="DL21" s="384">
        <v>49</v>
      </c>
      <c r="DM21" s="384">
        <v>49</v>
      </c>
      <c r="DN21" s="384">
        <v>53</v>
      </c>
      <c r="DO21" s="384">
        <v>53</v>
      </c>
      <c r="DP21" s="384">
        <v>53</v>
      </c>
      <c r="DQ21" s="384">
        <v>57</v>
      </c>
      <c r="DR21" s="384">
        <v>57</v>
      </c>
      <c r="DS21" s="384">
        <v>61</v>
      </c>
      <c r="DT21" s="384">
        <v>61</v>
      </c>
      <c r="DU21" s="384">
        <v>65</v>
      </c>
      <c r="DV21" s="384">
        <v>73</v>
      </c>
      <c r="DW21" s="384">
        <v>76</v>
      </c>
      <c r="DX21" s="384">
        <v>76</v>
      </c>
      <c r="DY21" s="384">
        <v>78</v>
      </c>
      <c r="DZ21" s="384">
        <v>78</v>
      </c>
      <c r="EA21" s="384">
        <v>81</v>
      </c>
      <c r="EB21" s="384">
        <v>83</v>
      </c>
      <c r="EC21" s="384">
        <v>85</v>
      </c>
      <c r="ED21" s="384">
        <v>85</v>
      </c>
      <c r="EE21" s="384">
        <v>87</v>
      </c>
      <c r="EF21" s="384">
        <v>90</v>
      </c>
      <c r="EG21" s="384">
        <v>94</v>
      </c>
      <c r="EH21" s="384">
        <v>97</v>
      </c>
    </row>
    <row r="22" spans="1:138" x14ac:dyDescent="0.15">
      <c r="A22" s="380">
        <v>13</v>
      </c>
      <c r="B22" s="385">
        <v>44</v>
      </c>
      <c r="C22" s="384">
        <v>44</v>
      </c>
      <c r="D22" s="384">
        <v>44</v>
      </c>
      <c r="E22" s="384">
        <v>44</v>
      </c>
      <c r="F22" s="384">
        <v>44</v>
      </c>
      <c r="G22" s="384">
        <v>44</v>
      </c>
      <c r="H22" s="384">
        <v>49</v>
      </c>
      <c r="I22" s="384">
        <v>49</v>
      </c>
      <c r="J22" s="384">
        <v>53</v>
      </c>
      <c r="K22" s="384">
        <v>53</v>
      </c>
      <c r="L22" s="384">
        <v>57</v>
      </c>
      <c r="M22" s="384">
        <v>57</v>
      </c>
      <c r="N22" s="384">
        <v>61</v>
      </c>
      <c r="O22" s="384">
        <v>65</v>
      </c>
      <c r="P22" s="384">
        <v>65</v>
      </c>
      <c r="Q22" s="384">
        <v>73</v>
      </c>
      <c r="R22" s="384">
        <v>76</v>
      </c>
      <c r="S22" s="384">
        <v>81</v>
      </c>
      <c r="T22" s="384">
        <v>81</v>
      </c>
      <c r="U22" s="384">
        <v>81</v>
      </c>
      <c r="V22" s="384">
        <v>81</v>
      </c>
      <c r="W22" s="384">
        <v>81</v>
      </c>
      <c r="X22" s="384">
        <v>85</v>
      </c>
      <c r="Y22" s="384">
        <v>90</v>
      </c>
      <c r="Z22" s="384">
        <v>97</v>
      </c>
      <c r="AC22" s="380">
        <v>13</v>
      </c>
      <c r="AD22" s="384">
        <v>44</v>
      </c>
      <c r="AE22" s="384">
        <v>44</v>
      </c>
      <c r="AF22" s="384">
        <v>44</v>
      </c>
      <c r="AG22" s="384">
        <v>44</v>
      </c>
      <c r="AH22" s="384">
        <v>44</v>
      </c>
      <c r="AI22" s="384">
        <v>49</v>
      </c>
      <c r="AJ22" s="384">
        <v>49</v>
      </c>
      <c r="AK22" s="384">
        <v>49</v>
      </c>
      <c r="AL22" s="384">
        <v>53</v>
      </c>
      <c r="AM22" s="384">
        <v>53</v>
      </c>
      <c r="AN22" s="384">
        <v>57</v>
      </c>
      <c r="AO22" s="384">
        <v>57</v>
      </c>
      <c r="AP22" s="384">
        <v>61</v>
      </c>
      <c r="AQ22" s="384">
        <v>65</v>
      </c>
      <c r="AR22" s="384">
        <v>65</v>
      </c>
      <c r="AS22" s="384">
        <v>73</v>
      </c>
      <c r="AT22" s="384">
        <v>76</v>
      </c>
      <c r="AU22" s="384">
        <v>81</v>
      </c>
      <c r="AV22" s="384">
        <v>81</v>
      </c>
      <c r="AW22" s="384">
        <v>81</v>
      </c>
      <c r="AX22" s="384">
        <v>81</v>
      </c>
      <c r="AY22" s="384">
        <v>81</v>
      </c>
      <c r="AZ22" s="384">
        <v>85</v>
      </c>
      <c r="BA22" s="384">
        <v>90</v>
      </c>
      <c r="BB22" s="384">
        <v>97</v>
      </c>
      <c r="BE22" s="380">
        <v>13</v>
      </c>
      <c r="BF22" s="384">
        <v>44</v>
      </c>
      <c r="BG22" s="384">
        <v>44</v>
      </c>
      <c r="BH22" s="384">
        <v>44</v>
      </c>
      <c r="BI22" s="384">
        <v>44</v>
      </c>
      <c r="BJ22" s="384">
        <v>44</v>
      </c>
      <c r="BK22" s="384">
        <v>49</v>
      </c>
      <c r="BL22" s="384">
        <v>49</v>
      </c>
      <c r="BM22" s="384">
        <v>49</v>
      </c>
      <c r="BN22" s="384">
        <v>53</v>
      </c>
      <c r="BO22" s="384">
        <v>53</v>
      </c>
      <c r="BP22" s="384">
        <v>57</v>
      </c>
      <c r="BQ22" s="384">
        <v>57</v>
      </c>
      <c r="BR22" s="384">
        <v>61</v>
      </c>
      <c r="BS22" s="384">
        <v>65</v>
      </c>
      <c r="BT22" s="384">
        <v>65</v>
      </c>
      <c r="BU22" s="384">
        <v>73</v>
      </c>
      <c r="BV22" s="384">
        <v>76</v>
      </c>
      <c r="BW22" s="384">
        <v>81</v>
      </c>
      <c r="BX22" s="384">
        <v>81</v>
      </c>
      <c r="BY22" s="384">
        <v>81</v>
      </c>
      <c r="BZ22" s="384">
        <v>81</v>
      </c>
      <c r="CA22" s="384">
        <v>81</v>
      </c>
      <c r="CB22" s="384">
        <v>85</v>
      </c>
      <c r="CC22" s="384">
        <v>90</v>
      </c>
      <c r="CD22" s="384">
        <v>97</v>
      </c>
      <c r="CG22" s="380">
        <v>13</v>
      </c>
      <c r="CH22" s="384">
        <v>44</v>
      </c>
      <c r="CI22" s="384">
        <v>44</v>
      </c>
      <c r="CJ22" s="384">
        <v>44</v>
      </c>
      <c r="CK22" s="384">
        <v>44</v>
      </c>
      <c r="CL22" s="384">
        <v>49</v>
      </c>
      <c r="CM22" s="384">
        <v>53</v>
      </c>
      <c r="CN22" s="384">
        <v>53</v>
      </c>
      <c r="CO22" s="384">
        <v>53</v>
      </c>
      <c r="CP22" s="384">
        <v>57</v>
      </c>
      <c r="CQ22" s="384">
        <v>57</v>
      </c>
      <c r="CR22" s="384">
        <v>61</v>
      </c>
      <c r="CS22" s="384">
        <v>61</v>
      </c>
      <c r="CT22" s="384">
        <v>65</v>
      </c>
      <c r="CU22" s="384">
        <v>69</v>
      </c>
      <c r="CV22" s="384">
        <v>73</v>
      </c>
      <c r="CW22" s="384">
        <v>76</v>
      </c>
      <c r="CX22" s="384">
        <v>76</v>
      </c>
      <c r="CY22" s="384">
        <v>81</v>
      </c>
      <c r="CZ22" s="384">
        <v>81</v>
      </c>
      <c r="DA22" s="384">
        <v>81</v>
      </c>
      <c r="DB22" s="384">
        <v>83</v>
      </c>
      <c r="DC22" s="384">
        <v>85</v>
      </c>
      <c r="DD22" s="384">
        <v>90</v>
      </c>
      <c r="DE22" s="384">
        <v>94</v>
      </c>
      <c r="DF22" s="384">
        <v>97</v>
      </c>
      <c r="DI22" s="380">
        <v>13</v>
      </c>
      <c r="DJ22" s="384">
        <v>49</v>
      </c>
      <c r="DK22" s="384">
        <v>49</v>
      </c>
      <c r="DL22" s="384">
        <v>53</v>
      </c>
      <c r="DM22" s="384">
        <v>53</v>
      </c>
      <c r="DN22" s="384">
        <v>57</v>
      </c>
      <c r="DO22" s="384">
        <v>57</v>
      </c>
      <c r="DP22" s="384">
        <v>57</v>
      </c>
      <c r="DQ22" s="384">
        <v>61</v>
      </c>
      <c r="DR22" s="384">
        <v>61</v>
      </c>
      <c r="DS22" s="384">
        <v>65</v>
      </c>
      <c r="DT22" s="384">
        <v>65</v>
      </c>
      <c r="DU22" s="384">
        <v>69</v>
      </c>
      <c r="DV22" s="384">
        <v>76</v>
      </c>
      <c r="DW22" s="384">
        <v>78</v>
      </c>
      <c r="DX22" s="384">
        <v>78</v>
      </c>
      <c r="DY22" s="384">
        <v>81</v>
      </c>
      <c r="DZ22" s="384">
        <v>81</v>
      </c>
      <c r="EA22" s="384">
        <v>83</v>
      </c>
      <c r="EB22" s="384">
        <v>85</v>
      </c>
      <c r="EC22" s="384">
        <v>87</v>
      </c>
      <c r="ED22" s="384">
        <v>87</v>
      </c>
      <c r="EE22" s="384">
        <v>90</v>
      </c>
      <c r="EF22" s="384">
        <v>94</v>
      </c>
      <c r="EG22" s="384">
        <v>97</v>
      </c>
      <c r="EH22" s="384">
        <v>100</v>
      </c>
    </row>
    <row r="23" spans="1:138" x14ac:dyDescent="0.15">
      <c r="A23" s="380">
        <v>14</v>
      </c>
      <c r="B23" s="385">
        <v>44</v>
      </c>
      <c r="C23" s="384">
        <v>44</v>
      </c>
      <c r="D23" s="384">
        <v>44</v>
      </c>
      <c r="E23" s="384">
        <v>44</v>
      </c>
      <c r="F23" s="384">
        <v>44</v>
      </c>
      <c r="G23" s="384">
        <v>44</v>
      </c>
      <c r="H23" s="384">
        <v>49</v>
      </c>
      <c r="I23" s="384">
        <v>49</v>
      </c>
      <c r="J23" s="384">
        <v>53</v>
      </c>
      <c r="K23" s="384">
        <v>53</v>
      </c>
      <c r="L23" s="384">
        <v>57</v>
      </c>
      <c r="M23" s="384">
        <v>57</v>
      </c>
      <c r="N23" s="384">
        <v>61</v>
      </c>
      <c r="O23" s="384">
        <v>65</v>
      </c>
      <c r="P23" s="384">
        <v>65</v>
      </c>
      <c r="Q23" s="384">
        <v>73</v>
      </c>
      <c r="R23" s="384">
        <v>76</v>
      </c>
      <c r="S23" s="384">
        <v>81</v>
      </c>
      <c r="T23" s="384">
        <v>81</v>
      </c>
      <c r="U23" s="384">
        <v>81</v>
      </c>
      <c r="V23" s="384">
        <v>81</v>
      </c>
      <c r="W23" s="384">
        <v>81</v>
      </c>
      <c r="X23" s="384">
        <v>85</v>
      </c>
      <c r="Y23" s="384">
        <v>90</v>
      </c>
      <c r="Z23" s="384">
        <v>97</v>
      </c>
      <c r="AC23" s="380">
        <v>14</v>
      </c>
      <c r="AD23" s="384">
        <v>44</v>
      </c>
      <c r="AE23" s="384">
        <v>44</v>
      </c>
      <c r="AF23" s="384">
        <v>44</v>
      </c>
      <c r="AG23" s="384">
        <v>44</v>
      </c>
      <c r="AH23" s="384">
        <v>44</v>
      </c>
      <c r="AI23" s="384">
        <v>49</v>
      </c>
      <c r="AJ23" s="384">
        <v>49</v>
      </c>
      <c r="AK23" s="384">
        <v>49</v>
      </c>
      <c r="AL23" s="384">
        <v>53</v>
      </c>
      <c r="AM23" s="384">
        <v>53</v>
      </c>
      <c r="AN23" s="384">
        <v>57</v>
      </c>
      <c r="AO23" s="384">
        <v>57</v>
      </c>
      <c r="AP23" s="384">
        <v>61</v>
      </c>
      <c r="AQ23" s="384">
        <v>65</v>
      </c>
      <c r="AR23" s="384">
        <v>65</v>
      </c>
      <c r="AS23" s="384">
        <v>73</v>
      </c>
      <c r="AT23" s="384">
        <v>76</v>
      </c>
      <c r="AU23" s="384">
        <v>81</v>
      </c>
      <c r="AV23" s="384">
        <v>81</v>
      </c>
      <c r="AW23" s="384">
        <v>81</v>
      </c>
      <c r="AX23" s="384">
        <v>81</v>
      </c>
      <c r="AY23" s="384">
        <v>81</v>
      </c>
      <c r="AZ23" s="384">
        <v>85</v>
      </c>
      <c r="BA23" s="384">
        <v>90</v>
      </c>
      <c r="BB23" s="384">
        <v>97</v>
      </c>
      <c r="BE23" s="380">
        <v>14</v>
      </c>
      <c r="BF23" s="384">
        <v>44</v>
      </c>
      <c r="BG23" s="384">
        <v>44</v>
      </c>
      <c r="BH23" s="384">
        <v>44</v>
      </c>
      <c r="BI23" s="384">
        <v>44</v>
      </c>
      <c r="BJ23" s="384">
        <v>44</v>
      </c>
      <c r="BK23" s="384">
        <v>49</v>
      </c>
      <c r="BL23" s="384">
        <v>49</v>
      </c>
      <c r="BM23" s="384">
        <v>49</v>
      </c>
      <c r="BN23" s="384">
        <v>53</v>
      </c>
      <c r="BO23" s="384">
        <v>53</v>
      </c>
      <c r="BP23" s="384">
        <v>57</v>
      </c>
      <c r="BQ23" s="384">
        <v>57</v>
      </c>
      <c r="BR23" s="384">
        <v>61</v>
      </c>
      <c r="BS23" s="384">
        <v>65</v>
      </c>
      <c r="BT23" s="384">
        <v>65</v>
      </c>
      <c r="BU23" s="384">
        <v>73</v>
      </c>
      <c r="BV23" s="384">
        <v>76</v>
      </c>
      <c r="BW23" s="384">
        <v>81</v>
      </c>
      <c r="BX23" s="384">
        <v>81</v>
      </c>
      <c r="BY23" s="384">
        <v>81</v>
      </c>
      <c r="BZ23" s="384">
        <v>81</v>
      </c>
      <c r="CA23" s="384">
        <v>81</v>
      </c>
      <c r="CB23" s="384">
        <v>85</v>
      </c>
      <c r="CC23" s="384">
        <v>90</v>
      </c>
      <c r="CD23" s="384">
        <v>97</v>
      </c>
      <c r="CG23" s="380">
        <v>14</v>
      </c>
      <c r="CH23" s="384">
        <v>49</v>
      </c>
      <c r="CI23" s="384">
        <v>49</v>
      </c>
      <c r="CJ23" s="384">
        <v>49</v>
      </c>
      <c r="CK23" s="384">
        <v>49</v>
      </c>
      <c r="CL23" s="384">
        <v>53</v>
      </c>
      <c r="CM23" s="384">
        <v>57</v>
      </c>
      <c r="CN23" s="384">
        <v>57</v>
      </c>
      <c r="CO23" s="384">
        <v>57</v>
      </c>
      <c r="CP23" s="384">
        <v>61</v>
      </c>
      <c r="CQ23" s="384">
        <v>61</v>
      </c>
      <c r="CR23" s="384">
        <v>65</v>
      </c>
      <c r="CS23" s="384">
        <v>65</v>
      </c>
      <c r="CT23" s="384">
        <v>69</v>
      </c>
      <c r="CU23" s="384">
        <v>73</v>
      </c>
      <c r="CV23" s="384">
        <v>76</v>
      </c>
      <c r="CW23" s="384">
        <v>78</v>
      </c>
      <c r="CX23" s="384">
        <v>78</v>
      </c>
      <c r="CY23" s="384">
        <v>83</v>
      </c>
      <c r="CZ23" s="384">
        <v>83</v>
      </c>
      <c r="DA23" s="384">
        <v>83</v>
      </c>
      <c r="DB23" s="384">
        <v>85</v>
      </c>
      <c r="DC23" s="384">
        <v>87</v>
      </c>
      <c r="DD23" s="384">
        <v>94</v>
      </c>
      <c r="DE23" s="384">
        <v>97</v>
      </c>
      <c r="DF23" s="384">
        <v>100</v>
      </c>
      <c r="DI23" s="380">
        <v>14</v>
      </c>
      <c r="DJ23" s="384">
        <v>49</v>
      </c>
      <c r="DK23" s="384">
        <v>49</v>
      </c>
      <c r="DL23" s="384">
        <v>53</v>
      </c>
      <c r="DM23" s="384">
        <v>53</v>
      </c>
      <c r="DN23" s="384">
        <v>57</v>
      </c>
      <c r="DO23" s="384">
        <v>57</v>
      </c>
      <c r="DP23" s="384">
        <v>57</v>
      </c>
      <c r="DQ23" s="384">
        <v>61</v>
      </c>
      <c r="DR23" s="384">
        <v>61</v>
      </c>
      <c r="DS23" s="384">
        <v>65</v>
      </c>
      <c r="DT23" s="384">
        <v>65</v>
      </c>
      <c r="DU23" s="384">
        <v>69</v>
      </c>
      <c r="DV23" s="384">
        <v>76</v>
      </c>
      <c r="DW23" s="384">
        <v>78</v>
      </c>
      <c r="DX23" s="384">
        <v>78</v>
      </c>
      <c r="DY23" s="384">
        <v>81</v>
      </c>
      <c r="DZ23" s="384">
        <v>81</v>
      </c>
      <c r="EA23" s="384">
        <v>83</v>
      </c>
      <c r="EB23" s="384">
        <v>85</v>
      </c>
      <c r="EC23" s="384">
        <v>87</v>
      </c>
      <c r="ED23" s="384">
        <v>87</v>
      </c>
      <c r="EE23" s="384">
        <v>90</v>
      </c>
      <c r="EF23" s="384">
        <v>94</v>
      </c>
      <c r="EG23" s="384">
        <v>97</v>
      </c>
      <c r="EH23" s="384">
        <v>100</v>
      </c>
    </row>
    <row r="24" spans="1:138" x14ac:dyDescent="0.15">
      <c r="A24" s="380">
        <v>15</v>
      </c>
      <c r="B24" s="385">
        <v>44</v>
      </c>
      <c r="C24" s="384">
        <v>44</v>
      </c>
      <c r="D24" s="384">
        <v>44</v>
      </c>
      <c r="E24" s="384">
        <v>44</v>
      </c>
      <c r="F24" s="384">
        <v>44</v>
      </c>
      <c r="G24" s="384">
        <v>44</v>
      </c>
      <c r="H24" s="384">
        <v>49</v>
      </c>
      <c r="I24" s="384">
        <v>49</v>
      </c>
      <c r="J24" s="384">
        <v>53</v>
      </c>
      <c r="K24" s="384">
        <v>53</v>
      </c>
      <c r="L24" s="384">
        <v>57</v>
      </c>
      <c r="M24" s="384">
        <v>57</v>
      </c>
      <c r="N24" s="384">
        <v>61</v>
      </c>
      <c r="O24" s="384">
        <v>65</v>
      </c>
      <c r="P24" s="384">
        <v>65</v>
      </c>
      <c r="Q24" s="384">
        <v>73</v>
      </c>
      <c r="R24" s="384">
        <v>76</v>
      </c>
      <c r="S24" s="384">
        <v>81</v>
      </c>
      <c r="T24" s="384">
        <v>81</v>
      </c>
      <c r="U24" s="384">
        <v>81</v>
      </c>
      <c r="V24" s="384">
        <v>81</v>
      </c>
      <c r="W24" s="384">
        <v>81</v>
      </c>
      <c r="X24" s="384">
        <v>85</v>
      </c>
      <c r="Y24" s="384">
        <v>90</v>
      </c>
      <c r="Z24" s="384">
        <v>97</v>
      </c>
      <c r="AC24" s="380">
        <v>15</v>
      </c>
      <c r="AD24" s="384">
        <v>44</v>
      </c>
      <c r="AE24" s="384">
        <v>44</v>
      </c>
      <c r="AF24" s="384">
        <v>44</v>
      </c>
      <c r="AG24" s="384">
        <v>44</v>
      </c>
      <c r="AH24" s="384">
        <v>44</v>
      </c>
      <c r="AI24" s="384">
        <v>49</v>
      </c>
      <c r="AJ24" s="384">
        <v>49</v>
      </c>
      <c r="AK24" s="384">
        <v>49</v>
      </c>
      <c r="AL24" s="384">
        <v>53</v>
      </c>
      <c r="AM24" s="384">
        <v>53</v>
      </c>
      <c r="AN24" s="384">
        <v>57</v>
      </c>
      <c r="AO24" s="384">
        <v>57</v>
      </c>
      <c r="AP24" s="384">
        <v>61</v>
      </c>
      <c r="AQ24" s="384">
        <v>65</v>
      </c>
      <c r="AR24" s="384">
        <v>65</v>
      </c>
      <c r="AS24" s="384">
        <v>73</v>
      </c>
      <c r="AT24" s="384">
        <v>76</v>
      </c>
      <c r="AU24" s="384">
        <v>81</v>
      </c>
      <c r="AV24" s="384">
        <v>81</v>
      </c>
      <c r="AW24" s="384">
        <v>81</v>
      </c>
      <c r="AX24" s="384">
        <v>81</v>
      </c>
      <c r="AY24" s="384">
        <v>81</v>
      </c>
      <c r="AZ24" s="384">
        <v>85</v>
      </c>
      <c r="BA24" s="384">
        <v>90</v>
      </c>
      <c r="BB24" s="384">
        <v>97</v>
      </c>
      <c r="BE24" s="380">
        <v>15</v>
      </c>
      <c r="BF24" s="384">
        <v>49</v>
      </c>
      <c r="BG24" s="384">
        <v>49</v>
      </c>
      <c r="BH24" s="384">
        <v>49</v>
      </c>
      <c r="BI24" s="384">
        <v>49</v>
      </c>
      <c r="BJ24" s="384">
        <v>49</v>
      </c>
      <c r="BK24" s="384">
        <v>53</v>
      </c>
      <c r="BL24" s="384">
        <v>53</v>
      </c>
      <c r="BM24" s="384">
        <v>53</v>
      </c>
      <c r="BN24" s="384">
        <v>57</v>
      </c>
      <c r="BO24" s="384">
        <v>57</v>
      </c>
      <c r="BP24" s="384">
        <v>61</v>
      </c>
      <c r="BQ24" s="384">
        <v>61</v>
      </c>
      <c r="BR24" s="384">
        <v>65</v>
      </c>
      <c r="BS24" s="384">
        <v>69</v>
      </c>
      <c r="BT24" s="384">
        <v>69</v>
      </c>
      <c r="BU24" s="384">
        <v>76</v>
      </c>
      <c r="BV24" s="384">
        <v>78</v>
      </c>
      <c r="BW24" s="384">
        <v>83</v>
      </c>
      <c r="BX24" s="384">
        <v>83</v>
      </c>
      <c r="BY24" s="384">
        <v>83</v>
      </c>
      <c r="BZ24" s="384">
        <v>83</v>
      </c>
      <c r="CA24" s="384">
        <v>83</v>
      </c>
      <c r="CB24" s="384">
        <v>87</v>
      </c>
      <c r="CC24" s="384">
        <v>94</v>
      </c>
      <c r="CD24" s="384">
        <v>100</v>
      </c>
      <c r="CG24" s="381">
        <v>15</v>
      </c>
      <c r="CH24" s="384">
        <v>49</v>
      </c>
      <c r="CI24" s="384">
        <v>49</v>
      </c>
      <c r="CJ24" s="384">
        <v>49</v>
      </c>
      <c r="CK24" s="384">
        <v>49</v>
      </c>
      <c r="CL24" s="384">
        <v>53</v>
      </c>
      <c r="CM24" s="384">
        <v>57</v>
      </c>
      <c r="CN24" s="384">
        <v>57</v>
      </c>
      <c r="CO24" s="384">
        <v>57</v>
      </c>
      <c r="CP24" s="384">
        <v>61</v>
      </c>
      <c r="CQ24" s="384">
        <v>61</v>
      </c>
      <c r="CR24" s="384">
        <v>65</v>
      </c>
      <c r="CS24" s="384">
        <v>65</v>
      </c>
      <c r="CT24" s="384">
        <v>69</v>
      </c>
      <c r="CU24" s="384">
        <v>73</v>
      </c>
      <c r="CV24" s="384">
        <v>76</v>
      </c>
      <c r="CW24" s="384">
        <v>78</v>
      </c>
      <c r="CX24" s="384">
        <v>78</v>
      </c>
      <c r="CY24" s="384">
        <v>83</v>
      </c>
      <c r="CZ24" s="384">
        <v>83</v>
      </c>
      <c r="DA24" s="384">
        <v>83</v>
      </c>
      <c r="DB24" s="384">
        <v>85</v>
      </c>
      <c r="DC24" s="384">
        <v>87</v>
      </c>
      <c r="DD24" s="384">
        <v>94</v>
      </c>
      <c r="DE24" s="384">
        <v>97</v>
      </c>
      <c r="DF24" s="384">
        <v>100</v>
      </c>
      <c r="DI24" s="380">
        <v>15</v>
      </c>
      <c r="DJ24" s="384">
        <v>53</v>
      </c>
      <c r="DK24" s="384">
        <v>53</v>
      </c>
      <c r="DL24" s="384">
        <v>57</v>
      </c>
      <c r="DM24" s="384">
        <v>57</v>
      </c>
      <c r="DN24" s="384">
        <v>61</v>
      </c>
      <c r="DO24" s="384">
        <v>61</v>
      </c>
      <c r="DP24" s="384">
        <v>61</v>
      </c>
      <c r="DQ24" s="384">
        <v>65</v>
      </c>
      <c r="DR24" s="384">
        <v>65</v>
      </c>
      <c r="DS24" s="384">
        <v>69</v>
      </c>
      <c r="DT24" s="384">
        <v>69</v>
      </c>
      <c r="DU24" s="384">
        <v>73</v>
      </c>
      <c r="DV24" s="384">
        <v>78</v>
      </c>
      <c r="DW24" s="384">
        <v>81</v>
      </c>
      <c r="DX24" s="384">
        <v>81</v>
      </c>
      <c r="DY24" s="384">
        <v>83</v>
      </c>
      <c r="DZ24" s="384">
        <v>83</v>
      </c>
      <c r="EA24" s="384">
        <v>85</v>
      </c>
      <c r="EB24" s="384">
        <v>87</v>
      </c>
      <c r="EC24" s="384">
        <v>90</v>
      </c>
      <c r="ED24" s="384">
        <v>90</v>
      </c>
      <c r="EE24" s="384">
        <v>94</v>
      </c>
      <c r="EF24" s="384">
        <v>97</v>
      </c>
      <c r="EG24" s="384">
        <v>100</v>
      </c>
      <c r="EH24" s="384">
        <v>103</v>
      </c>
    </row>
    <row r="25" spans="1:138" x14ac:dyDescent="0.15">
      <c r="A25" s="380">
        <v>16</v>
      </c>
      <c r="B25" s="385">
        <v>49</v>
      </c>
      <c r="C25" s="384">
        <v>49</v>
      </c>
      <c r="D25" s="384">
        <v>49</v>
      </c>
      <c r="E25" s="384">
        <v>49</v>
      </c>
      <c r="F25" s="384">
        <v>49</v>
      </c>
      <c r="G25" s="384">
        <v>49</v>
      </c>
      <c r="H25" s="384">
        <v>53</v>
      </c>
      <c r="I25" s="384">
        <v>53</v>
      </c>
      <c r="J25" s="384">
        <v>57</v>
      </c>
      <c r="K25" s="384">
        <v>57</v>
      </c>
      <c r="L25" s="384">
        <v>61</v>
      </c>
      <c r="M25" s="384">
        <v>61</v>
      </c>
      <c r="N25" s="384">
        <v>65</v>
      </c>
      <c r="O25" s="384">
        <v>69</v>
      </c>
      <c r="P25" s="384">
        <v>69</v>
      </c>
      <c r="Q25" s="384">
        <v>76</v>
      </c>
      <c r="R25" s="384">
        <v>78</v>
      </c>
      <c r="S25" s="384">
        <v>83</v>
      </c>
      <c r="T25" s="384">
        <v>83</v>
      </c>
      <c r="U25" s="384">
        <v>83</v>
      </c>
      <c r="V25" s="384">
        <v>83</v>
      </c>
      <c r="W25" s="384">
        <v>83</v>
      </c>
      <c r="X25" s="384">
        <v>87</v>
      </c>
      <c r="Y25" s="384">
        <v>94</v>
      </c>
      <c r="Z25" s="384">
        <v>100</v>
      </c>
      <c r="AC25" s="380">
        <v>16</v>
      </c>
      <c r="AD25" s="384">
        <v>49</v>
      </c>
      <c r="AE25" s="384">
        <v>49</v>
      </c>
      <c r="AF25" s="384">
        <v>49</v>
      </c>
      <c r="AG25" s="384">
        <v>49</v>
      </c>
      <c r="AH25" s="384">
        <v>49</v>
      </c>
      <c r="AI25" s="384">
        <v>53</v>
      </c>
      <c r="AJ25" s="384">
        <v>53</v>
      </c>
      <c r="AK25" s="384">
        <v>53</v>
      </c>
      <c r="AL25" s="384">
        <v>57</v>
      </c>
      <c r="AM25" s="384">
        <v>57</v>
      </c>
      <c r="AN25" s="384">
        <v>61</v>
      </c>
      <c r="AO25" s="384">
        <v>61</v>
      </c>
      <c r="AP25" s="384">
        <v>65</v>
      </c>
      <c r="AQ25" s="384">
        <v>69</v>
      </c>
      <c r="AR25" s="384">
        <v>69</v>
      </c>
      <c r="AS25" s="384">
        <v>76</v>
      </c>
      <c r="AT25" s="384">
        <v>78</v>
      </c>
      <c r="AU25" s="384">
        <v>83</v>
      </c>
      <c r="AV25" s="384">
        <v>83</v>
      </c>
      <c r="AW25" s="384">
        <v>83</v>
      </c>
      <c r="AX25" s="384">
        <v>83</v>
      </c>
      <c r="AY25" s="384">
        <v>83</v>
      </c>
      <c r="AZ25" s="384">
        <v>87</v>
      </c>
      <c r="BA25" s="384">
        <v>94</v>
      </c>
      <c r="BB25" s="384">
        <v>100</v>
      </c>
      <c r="BE25" s="380">
        <v>16</v>
      </c>
      <c r="BF25" s="384">
        <v>49</v>
      </c>
      <c r="BG25" s="384">
        <v>49</v>
      </c>
      <c r="BH25" s="384">
        <v>49</v>
      </c>
      <c r="BI25" s="384">
        <v>49</v>
      </c>
      <c r="BJ25" s="384">
        <v>49</v>
      </c>
      <c r="BK25" s="384">
        <v>53</v>
      </c>
      <c r="BL25" s="384">
        <v>53</v>
      </c>
      <c r="BM25" s="384">
        <v>53</v>
      </c>
      <c r="BN25" s="384">
        <v>57</v>
      </c>
      <c r="BO25" s="384">
        <v>57</v>
      </c>
      <c r="BP25" s="384">
        <v>61</v>
      </c>
      <c r="BQ25" s="384">
        <v>61</v>
      </c>
      <c r="BR25" s="384">
        <v>65</v>
      </c>
      <c r="BS25" s="384">
        <v>69</v>
      </c>
      <c r="BT25" s="384">
        <v>69</v>
      </c>
      <c r="BU25" s="384">
        <v>76</v>
      </c>
      <c r="BV25" s="384">
        <v>78</v>
      </c>
      <c r="BW25" s="384">
        <v>83</v>
      </c>
      <c r="BX25" s="384">
        <v>83</v>
      </c>
      <c r="BY25" s="384">
        <v>83</v>
      </c>
      <c r="BZ25" s="384">
        <v>83</v>
      </c>
      <c r="CA25" s="384">
        <v>83</v>
      </c>
      <c r="CB25" s="384">
        <v>87</v>
      </c>
      <c r="CC25" s="384">
        <v>94</v>
      </c>
      <c r="CD25" s="384">
        <v>100</v>
      </c>
      <c r="CG25" s="380">
        <v>16</v>
      </c>
      <c r="CH25" s="384">
        <v>53</v>
      </c>
      <c r="CI25" s="384">
        <v>53</v>
      </c>
      <c r="CJ25" s="384">
        <v>53</v>
      </c>
      <c r="CK25" s="384">
        <v>53</v>
      </c>
      <c r="CL25" s="384">
        <v>57</v>
      </c>
      <c r="CM25" s="384">
        <v>61</v>
      </c>
      <c r="CN25" s="384">
        <v>61</v>
      </c>
      <c r="CO25" s="384">
        <v>61</v>
      </c>
      <c r="CP25" s="384">
        <v>65</v>
      </c>
      <c r="CQ25" s="384">
        <v>65</v>
      </c>
      <c r="CR25" s="384">
        <v>69</v>
      </c>
      <c r="CS25" s="384">
        <v>69</v>
      </c>
      <c r="CT25" s="384">
        <v>73</v>
      </c>
      <c r="CU25" s="384">
        <v>76</v>
      </c>
      <c r="CV25" s="384">
        <v>78</v>
      </c>
      <c r="CW25" s="384">
        <v>81</v>
      </c>
      <c r="CX25" s="384">
        <v>81</v>
      </c>
      <c r="CY25" s="384">
        <v>85</v>
      </c>
      <c r="CZ25" s="384">
        <v>85</v>
      </c>
      <c r="DA25" s="384">
        <v>85</v>
      </c>
      <c r="DB25" s="384">
        <v>87</v>
      </c>
      <c r="DC25" s="384">
        <v>90</v>
      </c>
      <c r="DD25" s="384">
        <v>97</v>
      </c>
      <c r="DE25" s="384">
        <v>100</v>
      </c>
      <c r="DF25" s="384">
        <v>103</v>
      </c>
      <c r="DI25" s="380">
        <v>16</v>
      </c>
      <c r="DJ25" s="384">
        <v>57</v>
      </c>
      <c r="DK25" s="384">
        <v>57</v>
      </c>
      <c r="DL25" s="384">
        <v>61</v>
      </c>
      <c r="DM25" s="384">
        <v>61</v>
      </c>
      <c r="DN25" s="384">
        <v>65</v>
      </c>
      <c r="DO25" s="384">
        <v>65</v>
      </c>
      <c r="DP25" s="384">
        <v>65</v>
      </c>
      <c r="DQ25" s="384">
        <v>69</v>
      </c>
      <c r="DR25" s="384">
        <v>69</v>
      </c>
      <c r="DS25" s="384">
        <v>73</v>
      </c>
      <c r="DT25" s="384">
        <v>73</v>
      </c>
      <c r="DU25" s="384">
        <v>76</v>
      </c>
      <c r="DV25" s="384">
        <v>81</v>
      </c>
      <c r="DW25" s="384">
        <v>83</v>
      </c>
      <c r="DX25" s="384">
        <v>83</v>
      </c>
      <c r="DY25" s="384">
        <v>85</v>
      </c>
      <c r="DZ25" s="384">
        <v>85</v>
      </c>
      <c r="EA25" s="384">
        <v>87</v>
      </c>
      <c r="EB25" s="384">
        <v>90</v>
      </c>
      <c r="EC25" s="384">
        <v>94</v>
      </c>
      <c r="ED25" s="384">
        <v>94</v>
      </c>
      <c r="EE25" s="384">
        <v>97</v>
      </c>
      <c r="EF25" s="384">
        <v>100</v>
      </c>
      <c r="EG25" s="384">
        <v>103</v>
      </c>
      <c r="EH25" s="384">
        <v>106</v>
      </c>
    </row>
    <row r="26" spans="1:138" x14ac:dyDescent="0.15">
      <c r="A26" s="380">
        <v>17</v>
      </c>
      <c r="B26" s="385">
        <v>49</v>
      </c>
      <c r="C26" s="384">
        <v>49</v>
      </c>
      <c r="D26" s="384">
        <v>49</v>
      </c>
      <c r="E26" s="384">
        <v>49</v>
      </c>
      <c r="F26" s="384">
        <v>49</v>
      </c>
      <c r="G26" s="384">
        <v>49</v>
      </c>
      <c r="H26" s="384">
        <v>53</v>
      </c>
      <c r="I26" s="384">
        <v>53</v>
      </c>
      <c r="J26" s="384">
        <v>57</v>
      </c>
      <c r="K26" s="384">
        <v>57</v>
      </c>
      <c r="L26" s="384">
        <v>61</v>
      </c>
      <c r="M26" s="384">
        <v>61</v>
      </c>
      <c r="N26" s="384">
        <v>65</v>
      </c>
      <c r="O26" s="384">
        <v>69</v>
      </c>
      <c r="P26" s="384">
        <v>69</v>
      </c>
      <c r="Q26" s="384">
        <v>76</v>
      </c>
      <c r="R26" s="384">
        <v>78</v>
      </c>
      <c r="S26" s="384">
        <v>83</v>
      </c>
      <c r="T26" s="384">
        <v>83</v>
      </c>
      <c r="U26" s="384">
        <v>83</v>
      </c>
      <c r="V26" s="384">
        <v>83</v>
      </c>
      <c r="W26" s="384">
        <v>83</v>
      </c>
      <c r="X26" s="384">
        <v>87</v>
      </c>
      <c r="Y26" s="384">
        <v>94</v>
      </c>
      <c r="Z26" s="384">
        <v>100</v>
      </c>
      <c r="AC26" s="380">
        <v>17</v>
      </c>
      <c r="AD26" s="384">
        <v>49</v>
      </c>
      <c r="AE26" s="384">
        <v>49</v>
      </c>
      <c r="AF26" s="384">
        <v>49</v>
      </c>
      <c r="AG26" s="384">
        <v>49</v>
      </c>
      <c r="AH26" s="384">
        <v>49</v>
      </c>
      <c r="AI26" s="384">
        <v>53</v>
      </c>
      <c r="AJ26" s="384">
        <v>53</v>
      </c>
      <c r="AK26" s="384">
        <v>53</v>
      </c>
      <c r="AL26" s="384">
        <v>57</v>
      </c>
      <c r="AM26" s="384">
        <v>57</v>
      </c>
      <c r="AN26" s="384">
        <v>61</v>
      </c>
      <c r="AO26" s="384">
        <v>61</v>
      </c>
      <c r="AP26" s="384">
        <v>65</v>
      </c>
      <c r="AQ26" s="384">
        <v>69</v>
      </c>
      <c r="AR26" s="384">
        <v>69</v>
      </c>
      <c r="AS26" s="384">
        <v>76</v>
      </c>
      <c r="AT26" s="384">
        <v>78</v>
      </c>
      <c r="AU26" s="384">
        <v>83</v>
      </c>
      <c r="AV26" s="384">
        <v>83</v>
      </c>
      <c r="AW26" s="384">
        <v>83</v>
      </c>
      <c r="AX26" s="384">
        <v>83</v>
      </c>
      <c r="AY26" s="384">
        <v>83</v>
      </c>
      <c r="AZ26" s="384">
        <v>87</v>
      </c>
      <c r="BA26" s="384">
        <v>94</v>
      </c>
      <c r="BB26" s="384">
        <v>100</v>
      </c>
      <c r="BE26" s="380">
        <v>17</v>
      </c>
      <c r="BF26" s="384">
        <v>49</v>
      </c>
      <c r="BG26" s="384">
        <v>49</v>
      </c>
      <c r="BH26" s="384">
        <v>49</v>
      </c>
      <c r="BI26" s="384">
        <v>49</v>
      </c>
      <c r="BJ26" s="384">
        <v>49</v>
      </c>
      <c r="BK26" s="384">
        <v>53</v>
      </c>
      <c r="BL26" s="384">
        <v>53</v>
      </c>
      <c r="BM26" s="384">
        <v>53</v>
      </c>
      <c r="BN26" s="384">
        <v>57</v>
      </c>
      <c r="BO26" s="384">
        <v>57</v>
      </c>
      <c r="BP26" s="384">
        <v>61</v>
      </c>
      <c r="BQ26" s="384">
        <v>61</v>
      </c>
      <c r="BR26" s="384">
        <v>65</v>
      </c>
      <c r="BS26" s="384">
        <v>69</v>
      </c>
      <c r="BT26" s="384">
        <v>69</v>
      </c>
      <c r="BU26" s="384">
        <v>76</v>
      </c>
      <c r="BV26" s="384">
        <v>78</v>
      </c>
      <c r="BW26" s="384">
        <v>83</v>
      </c>
      <c r="BX26" s="384">
        <v>83</v>
      </c>
      <c r="BY26" s="384">
        <v>83</v>
      </c>
      <c r="BZ26" s="384">
        <v>83</v>
      </c>
      <c r="CA26" s="384">
        <v>83</v>
      </c>
      <c r="CB26" s="384">
        <v>87</v>
      </c>
      <c r="CC26" s="384">
        <v>94</v>
      </c>
      <c r="CD26" s="384">
        <v>100</v>
      </c>
      <c r="CG26" s="381">
        <v>17</v>
      </c>
      <c r="CH26" s="384">
        <v>53</v>
      </c>
      <c r="CI26" s="384">
        <v>53</v>
      </c>
      <c r="CJ26" s="384">
        <v>53</v>
      </c>
      <c r="CK26" s="384">
        <v>53</v>
      </c>
      <c r="CL26" s="384">
        <v>57</v>
      </c>
      <c r="CM26" s="384">
        <v>61</v>
      </c>
      <c r="CN26" s="384">
        <v>61</v>
      </c>
      <c r="CO26" s="384">
        <v>61</v>
      </c>
      <c r="CP26" s="384">
        <v>65</v>
      </c>
      <c r="CQ26" s="384">
        <v>65</v>
      </c>
      <c r="CR26" s="384">
        <v>69</v>
      </c>
      <c r="CS26" s="384">
        <v>69</v>
      </c>
      <c r="CT26" s="384">
        <v>73</v>
      </c>
      <c r="CU26" s="384">
        <v>76</v>
      </c>
      <c r="CV26" s="384">
        <v>78</v>
      </c>
      <c r="CW26" s="384">
        <v>81</v>
      </c>
      <c r="CX26" s="384">
        <v>81</v>
      </c>
      <c r="CY26" s="384">
        <v>85</v>
      </c>
      <c r="CZ26" s="384">
        <v>85</v>
      </c>
      <c r="DA26" s="384">
        <v>85</v>
      </c>
      <c r="DB26" s="384">
        <v>87</v>
      </c>
      <c r="DC26" s="384">
        <v>90</v>
      </c>
      <c r="DD26" s="384">
        <v>97</v>
      </c>
      <c r="DE26" s="384">
        <v>100</v>
      </c>
      <c r="DF26" s="384">
        <v>103</v>
      </c>
      <c r="DI26" s="380">
        <v>17</v>
      </c>
      <c r="DJ26" s="384">
        <v>61</v>
      </c>
      <c r="DK26" s="384">
        <v>61</v>
      </c>
      <c r="DL26" s="384">
        <v>65</v>
      </c>
      <c r="DM26" s="384">
        <v>65</v>
      </c>
      <c r="DN26" s="384">
        <v>69</v>
      </c>
      <c r="DO26" s="384">
        <v>69</v>
      </c>
      <c r="DP26" s="384">
        <v>69</v>
      </c>
      <c r="DQ26" s="384">
        <v>73</v>
      </c>
      <c r="DR26" s="384">
        <v>73</v>
      </c>
      <c r="DS26" s="384">
        <v>76</v>
      </c>
      <c r="DT26" s="384">
        <v>76</v>
      </c>
      <c r="DU26" s="384">
        <v>78</v>
      </c>
      <c r="DV26" s="384">
        <v>83</v>
      </c>
      <c r="DW26" s="384">
        <v>85</v>
      </c>
      <c r="DX26" s="384">
        <v>85</v>
      </c>
      <c r="DY26" s="384">
        <v>87</v>
      </c>
      <c r="DZ26" s="384">
        <v>87</v>
      </c>
      <c r="EA26" s="384">
        <v>90</v>
      </c>
      <c r="EB26" s="384">
        <v>94</v>
      </c>
      <c r="EC26" s="384">
        <v>97</v>
      </c>
      <c r="ED26" s="384">
        <v>97</v>
      </c>
      <c r="EE26" s="384">
        <v>100</v>
      </c>
      <c r="EF26" s="384">
        <v>103</v>
      </c>
      <c r="EG26" s="384">
        <v>106</v>
      </c>
      <c r="EH26" s="384">
        <v>109</v>
      </c>
    </row>
    <row r="27" spans="1:138" x14ac:dyDescent="0.15">
      <c r="A27" s="380">
        <v>18</v>
      </c>
      <c r="B27" s="385">
        <v>49</v>
      </c>
      <c r="C27" s="384">
        <v>49</v>
      </c>
      <c r="D27" s="384">
        <v>49</v>
      </c>
      <c r="E27" s="384">
        <v>49</v>
      </c>
      <c r="F27" s="384">
        <v>49</v>
      </c>
      <c r="G27" s="384">
        <v>49</v>
      </c>
      <c r="H27" s="384">
        <v>53</v>
      </c>
      <c r="I27" s="384">
        <v>53</v>
      </c>
      <c r="J27" s="384">
        <v>57</v>
      </c>
      <c r="K27" s="384">
        <v>57</v>
      </c>
      <c r="L27" s="384">
        <v>61</v>
      </c>
      <c r="M27" s="384">
        <v>61</v>
      </c>
      <c r="N27" s="384">
        <v>65</v>
      </c>
      <c r="O27" s="384">
        <v>69</v>
      </c>
      <c r="P27" s="384">
        <v>69</v>
      </c>
      <c r="Q27" s="384">
        <v>76</v>
      </c>
      <c r="R27" s="384">
        <v>78</v>
      </c>
      <c r="S27" s="384">
        <v>83</v>
      </c>
      <c r="T27" s="384">
        <v>83</v>
      </c>
      <c r="U27" s="384">
        <v>83</v>
      </c>
      <c r="V27" s="384">
        <v>83</v>
      </c>
      <c r="W27" s="384">
        <v>83</v>
      </c>
      <c r="X27" s="384">
        <v>87</v>
      </c>
      <c r="Y27" s="384">
        <v>94</v>
      </c>
      <c r="Z27" s="384">
        <v>100</v>
      </c>
      <c r="AC27" s="380">
        <v>18</v>
      </c>
      <c r="AD27" s="384">
        <v>53</v>
      </c>
      <c r="AE27" s="384">
        <v>53</v>
      </c>
      <c r="AF27" s="384">
        <v>53</v>
      </c>
      <c r="AG27" s="384">
        <v>53</v>
      </c>
      <c r="AH27" s="384">
        <v>53</v>
      </c>
      <c r="AI27" s="384">
        <v>57</v>
      </c>
      <c r="AJ27" s="384">
        <v>57</v>
      </c>
      <c r="AK27" s="384">
        <v>57</v>
      </c>
      <c r="AL27" s="384">
        <v>61</v>
      </c>
      <c r="AM27" s="384">
        <v>61</v>
      </c>
      <c r="AN27" s="384">
        <v>65</v>
      </c>
      <c r="AO27" s="384">
        <v>65</v>
      </c>
      <c r="AP27" s="384">
        <v>69</v>
      </c>
      <c r="AQ27" s="384">
        <v>73</v>
      </c>
      <c r="AR27" s="384">
        <v>73</v>
      </c>
      <c r="AS27" s="384">
        <v>78</v>
      </c>
      <c r="AT27" s="384">
        <v>81</v>
      </c>
      <c r="AU27" s="384">
        <v>85</v>
      </c>
      <c r="AV27" s="384">
        <v>85</v>
      </c>
      <c r="AW27" s="384">
        <v>85</v>
      </c>
      <c r="AX27" s="384">
        <v>85</v>
      </c>
      <c r="AY27" s="384">
        <v>85</v>
      </c>
      <c r="AZ27" s="384">
        <v>90</v>
      </c>
      <c r="BA27" s="384">
        <v>97</v>
      </c>
      <c r="BB27" s="384">
        <v>103</v>
      </c>
      <c r="BE27" s="380">
        <v>18</v>
      </c>
      <c r="BF27" s="384">
        <v>53</v>
      </c>
      <c r="BG27" s="384">
        <v>53</v>
      </c>
      <c r="BH27" s="384">
        <v>53</v>
      </c>
      <c r="BI27" s="384">
        <v>53</v>
      </c>
      <c r="BJ27" s="384">
        <v>53</v>
      </c>
      <c r="BK27" s="384">
        <v>57</v>
      </c>
      <c r="BL27" s="384">
        <v>57</v>
      </c>
      <c r="BM27" s="384">
        <v>57</v>
      </c>
      <c r="BN27" s="384">
        <v>61</v>
      </c>
      <c r="BO27" s="384">
        <v>61</v>
      </c>
      <c r="BP27" s="384">
        <v>65</v>
      </c>
      <c r="BQ27" s="384">
        <v>65</v>
      </c>
      <c r="BR27" s="384">
        <v>69</v>
      </c>
      <c r="BS27" s="384">
        <v>73</v>
      </c>
      <c r="BT27" s="384">
        <v>73</v>
      </c>
      <c r="BU27" s="384">
        <v>78</v>
      </c>
      <c r="BV27" s="384">
        <v>81</v>
      </c>
      <c r="BW27" s="384">
        <v>85</v>
      </c>
      <c r="BX27" s="384">
        <v>85</v>
      </c>
      <c r="BY27" s="384">
        <v>85</v>
      </c>
      <c r="BZ27" s="384">
        <v>85</v>
      </c>
      <c r="CA27" s="384">
        <v>85</v>
      </c>
      <c r="CB27" s="384">
        <v>90</v>
      </c>
      <c r="CC27" s="384">
        <v>97</v>
      </c>
      <c r="CD27" s="384">
        <v>103</v>
      </c>
      <c r="CG27" s="380">
        <v>18</v>
      </c>
      <c r="CH27" s="384">
        <v>57</v>
      </c>
      <c r="CI27" s="384">
        <v>57</v>
      </c>
      <c r="CJ27" s="384">
        <v>57</v>
      </c>
      <c r="CK27" s="384">
        <v>57</v>
      </c>
      <c r="CL27" s="384">
        <v>61</v>
      </c>
      <c r="CM27" s="384">
        <v>65</v>
      </c>
      <c r="CN27" s="384">
        <v>65</v>
      </c>
      <c r="CO27" s="384">
        <v>65</v>
      </c>
      <c r="CP27" s="384">
        <v>69</v>
      </c>
      <c r="CQ27" s="384">
        <v>69</v>
      </c>
      <c r="CR27" s="384">
        <v>73</v>
      </c>
      <c r="CS27" s="384">
        <v>73</v>
      </c>
      <c r="CT27" s="384">
        <v>76</v>
      </c>
      <c r="CU27" s="384">
        <v>78</v>
      </c>
      <c r="CV27" s="384">
        <v>81</v>
      </c>
      <c r="CW27" s="384">
        <v>83</v>
      </c>
      <c r="CX27" s="384">
        <v>83</v>
      </c>
      <c r="CY27" s="384">
        <v>87</v>
      </c>
      <c r="CZ27" s="384">
        <v>87</v>
      </c>
      <c r="DA27" s="384">
        <v>87</v>
      </c>
      <c r="DB27" s="384">
        <v>90</v>
      </c>
      <c r="DC27" s="384">
        <v>94</v>
      </c>
      <c r="DD27" s="384">
        <v>100</v>
      </c>
      <c r="DE27" s="384">
        <v>103</v>
      </c>
      <c r="DF27" s="384">
        <v>106</v>
      </c>
      <c r="DI27" s="380">
        <v>18</v>
      </c>
      <c r="DJ27" s="384">
        <v>61</v>
      </c>
      <c r="DK27" s="384">
        <v>61</v>
      </c>
      <c r="DL27" s="384">
        <v>65</v>
      </c>
      <c r="DM27" s="384">
        <v>65</v>
      </c>
      <c r="DN27" s="384">
        <v>69</v>
      </c>
      <c r="DO27" s="384">
        <v>69</v>
      </c>
      <c r="DP27" s="384">
        <v>69</v>
      </c>
      <c r="DQ27" s="384">
        <v>73</v>
      </c>
      <c r="DR27" s="384">
        <v>73</v>
      </c>
      <c r="DS27" s="384">
        <v>76</v>
      </c>
      <c r="DT27" s="384">
        <v>76</v>
      </c>
      <c r="DU27" s="384">
        <v>78</v>
      </c>
      <c r="DV27" s="384">
        <v>83</v>
      </c>
      <c r="DW27" s="384">
        <v>85</v>
      </c>
      <c r="DX27" s="384">
        <v>85</v>
      </c>
      <c r="DY27" s="384">
        <v>87</v>
      </c>
      <c r="DZ27" s="384">
        <v>87</v>
      </c>
      <c r="EA27" s="384">
        <v>90</v>
      </c>
      <c r="EB27" s="384">
        <v>94</v>
      </c>
      <c r="EC27" s="384">
        <v>97</v>
      </c>
      <c r="ED27" s="384">
        <v>97</v>
      </c>
      <c r="EE27" s="384">
        <v>100</v>
      </c>
      <c r="EF27" s="384">
        <v>103</v>
      </c>
      <c r="EG27" s="384">
        <v>106</v>
      </c>
      <c r="EH27" s="384">
        <v>109</v>
      </c>
    </row>
    <row r="28" spans="1:138" x14ac:dyDescent="0.15">
      <c r="A28" s="380">
        <v>19</v>
      </c>
      <c r="B28" s="385">
        <v>53</v>
      </c>
      <c r="C28" s="384">
        <v>53</v>
      </c>
      <c r="D28" s="384">
        <v>53</v>
      </c>
      <c r="E28" s="384">
        <v>53</v>
      </c>
      <c r="F28" s="384">
        <v>53</v>
      </c>
      <c r="G28" s="384">
        <v>53</v>
      </c>
      <c r="H28" s="384">
        <v>57</v>
      </c>
      <c r="I28" s="384">
        <v>57</v>
      </c>
      <c r="J28" s="384">
        <v>61</v>
      </c>
      <c r="K28" s="384">
        <v>61</v>
      </c>
      <c r="L28" s="384">
        <v>65</v>
      </c>
      <c r="M28" s="384">
        <v>65</v>
      </c>
      <c r="N28" s="384">
        <v>69</v>
      </c>
      <c r="O28" s="384">
        <v>73</v>
      </c>
      <c r="P28" s="384">
        <v>73</v>
      </c>
      <c r="Q28" s="384">
        <v>78</v>
      </c>
      <c r="R28" s="384">
        <v>81</v>
      </c>
      <c r="S28" s="384">
        <v>85</v>
      </c>
      <c r="T28" s="384">
        <v>85</v>
      </c>
      <c r="U28" s="384">
        <v>85</v>
      </c>
      <c r="V28" s="384">
        <v>85</v>
      </c>
      <c r="W28" s="384">
        <v>85</v>
      </c>
      <c r="X28" s="384">
        <v>90</v>
      </c>
      <c r="Y28" s="384">
        <v>97</v>
      </c>
      <c r="Z28" s="384">
        <v>103</v>
      </c>
      <c r="AC28" s="380">
        <v>19</v>
      </c>
      <c r="AD28" s="384">
        <v>53</v>
      </c>
      <c r="AE28" s="384">
        <v>53</v>
      </c>
      <c r="AF28" s="384">
        <v>53</v>
      </c>
      <c r="AG28" s="384">
        <v>53</v>
      </c>
      <c r="AH28" s="384">
        <v>53</v>
      </c>
      <c r="AI28" s="384">
        <v>57</v>
      </c>
      <c r="AJ28" s="384">
        <v>57</v>
      </c>
      <c r="AK28" s="384">
        <v>57</v>
      </c>
      <c r="AL28" s="384">
        <v>61</v>
      </c>
      <c r="AM28" s="384">
        <v>61</v>
      </c>
      <c r="AN28" s="384">
        <v>65</v>
      </c>
      <c r="AO28" s="384">
        <v>65</v>
      </c>
      <c r="AP28" s="384">
        <v>69</v>
      </c>
      <c r="AQ28" s="384">
        <v>73</v>
      </c>
      <c r="AR28" s="384">
        <v>73</v>
      </c>
      <c r="AS28" s="384">
        <v>78</v>
      </c>
      <c r="AT28" s="384">
        <v>81</v>
      </c>
      <c r="AU28" s="384">
        <v>85</v>
      </c>
      <c r="AV28" s="384">
        <v>85</v>
      </c>
      <c r="AW28" s="384">
        <v>85</v>
      </c>
      <c r="AX28" s="384">
        <v>85</v>
      </c>
      <c r="AY28" s="384">
        <v>85</v>
      </c>
      <c r="AZ28" s="384">
        <v>90</v>
      </c>
      <c r="BA28" s="384">
        <v>97</v>
      </c>
      <c r="BB28" s="384">
        <v>103</v>
      </c>
      <c r="BE28" s="380">
        <v>19</v>
      </c>
      <c r="BF28" s="384">
        <v>53</v>
      </c>
      <c r="BG28" s="384">
        <v>53</v>
      </c>
      <c r="BH28" s="384">
        <v>53</v>
      </c>
      <c r="BI28" s="384">
        <v>53</v>
      </c>
      <c r="BJ28" s="384">
        <v>53</v>
      </c>
      <c r="BK28" s="384">
        <v>57</v>
      </c>
      <c r="BL28" s="384">
        <v>57</v>
      </c>
      <c r="BM28" s="384">
        <v>57</v>
      </c>
      <c r="BN28" s="384">
        <v>61</v>
      </c>
      <c r="BO28" s="384">
        <v>61</v>
      </c>
      <c r="BP28" s="384">
        <v>65</v>
      </c>
      <c r="BQ28" s="384">
        <v>65</v>
      </c>
      <c r="BR28" s="384">
        <v>69</v>
      </c>
      <c r="BS28" s="384">
        <v>73</v>
      </c>
      <c r="BT28" s="384">
        <v>73</v>
      </c>
      <c r="BU28" s="384">
        <v>78</v>
      </c>
      <c r="BV28" s="384">
        <v>81</v>
      </c>
      <c r="BW28" s="384">
        <v>85</v>
      </c>
      <c r="BX28" s="384">
        <v>85</v>
      </c>
      <c r="BY28" s="384">
        <v>85</v>
      </c>
      <c r="BZ28" s="384">
        <v>85</v>
      </c>
      <c r="CA28" s="384">
        <v>85</v>
      </c>
      <c r="CB28" s="384">
        <v>90</v>
      </c>
      <c r="CC28" s="384">
        <v>97</v>
      </c>
      <c r="CD28" s="384">
        <v>103</v>
      </c>
      <c r="CG28" s="381">
        <v>19</v>
      </c>
      <c r="CH28" s="384">
        <v>61</v>
      </c>
      <c r="CI28" s="384">
        <v>61</v>
      </c>
      <c r="CJ28" s="384">
        <v>61</v>
      </c>
      <c r="CK28" s="384">
        <v>61</v>
      </c>
      <c r="CL28" s="384">
        <v>65</v>
      </c>
      <c r="CM28" s="384">
        <v>69</v>
      </c>
      <c r="CN28" s="384">
        <v>69</v>
      </c>
      <c r="CO28" s="384">
        <v>69</v>
      </c>
      <c r="CP28" s="384">
        <v>73</v>
      </c>
      <c r="CQ28" s="384">
        <v>73</v>
      </c>
      <c r="CR28" s="384">
        <v>76</v>
      </c>
      <c r="CS28" s="384">
        <v>76</v>
      </c>
      <c r="CT28" s="384">
        <v>78</v>
      </c>
      <c r="CU28" s="384">
        <v>81</v>
      </c>
      <c r="CV28" s="384">
        <v>83</v>
      </c>
      <c r="CW28" s="384">
        <v>85</v>
      </c>
      <c r="CX28" s="384">
        <v>85</v>
      </c>
      <c r="CY28" s="384">
        <v>90</v>
      </c>
      <c r="CZ28" s="384">
        <v>90</v>
      </c>
      <c r="DA28" s="384">
        <v>90</v>
      </c>
      <c r="DB28" s="384">
        <v>94</v>
      </c>
      <c r="DC28" s="384">
        <v>97</v>
      </c>
      <c r="DD28" s="384">
        <v>103</v>
      </c>
      <c r="DE28" s="384">
        <v>106</v>
      </c>
      <c r="DF28" s="384">
        <v>109</v>
      </c>
      <c r="DI28" s="380">
        <v>19</v>
      </c>
      <c r="DJ28" s="384">
        <v>65</v>
      </c>
      <c r="DK28" s="384">
        <v>65</v>
      </c>
      <c r="DL28" s="384">
        <v>69</v>
      </c>
      <c r="DM28" s="384">
        <v>69</v>
      </c>
      <c r="DN28" s="384">
        <v>73</v>
      </c>
      <c r="DO28" s="384">
        <v>73</v>
      </c>
      <c r="DP28" s="384">
        <v>73</v>
      </c>
      <c r="DQ28" s="384">
        <v>76</v>
      </c>
      <c r="DR28" s="384">
        <v>76</v>
      </c>
      <c r="DS28" s="384">
        <v>78</v>
      </c>
      <c r="DT28" s="384">
        <v>78</v>
      </c>
      <c r="DU28" s="384">
        <v>81</v>
      </c>
      <c r="DV28" s="384">
        <v>85</v>
      </c>
      <c r="DW28" s="384">
        <v>87</v>
      </c>
      <c r="DX28" s="384">
        <v>87</v>
      </c>
      <c r="DY28" s="384">
        <v>90</v>
      </c>
      <c r="DZ28" s="384">
        <v>90</v>
      </c>
      <c r="EA28" s="384">
        <v>94</v>
      </c>
      <c r="EB28" s="384">
        <v>97</v>
      </c>
      <c r="EC28" s="384">
        <v>100</v>
      </c>
      <c r="ED28" s="384">
        <v>100</v>
      </c>
      <c r="EE28" s="384">
        <v>103</v>
      </c>
      <c r="EF28" s="384">
        <v>106</v>
      </c>
      <c r="EG28" s="384">
        <v>109</v>
      </c>
      <c r="EH28" s="384">
        <v>112</v>
      </c>
    </row>
    <row r="29" spans="1:138" x14ac:dyDescent="0.15">
      <c r="A29" s="380">
        <v>20</v>
      </c>
      <c r="B29" s="385">
        <v>53</v>
      </c>
      <c r="C29" s="384">
        <v>53</v>
      </c>
      <c r="D29" s="384">
        <v>53</v>
      </c>
      <c r="E29" s="384">
        <v>53</v>
      </c>
      <c r="F29" s="384">
        <v>53</v>
      </c>
      <c r="G29" s="384">
        <v>53</v>
      </c>
      <c r="H29" s="384">
        <v>57</v>
      </c>
      <c r="I29" s="384">
        <v>57</v>
      </c>
      <c r="J29" s="384">
        <v>61</v>
      </c>
      <c r="K29" s="384">
        <v>61</v>
      </c>
      <c r="L29" s="384">
        <v>65</v>
      </c>
      <c r="M29" s="384">
        <v>65</v>
      </c>
      <c r="N29" s="384">
        <v>69</v>
      </c>
      <c r="O29" s="384">
        <v>73</v>
      </c>
      <c r="P29" s="384">
        <v>73</v>
      </c>
      <c r="Q29" s="384">
        <v>78</v>
      </c>
      <c r="R29" s="384">
        <v>81</v>
      </c>
      <c r="S29" s="384">
        <v>85</v>
      </c>
      <c r="T29" s="384">
        <v>85</v>
      </c>
      <c r="U29" s="384">
        <v>85</v>
      </c>
      <c r="V29" s="384">
        <v>85</v>
      </c>
      <c r="W29" s="384">
        <v>85</v>
      </c>
      <c r="X29" s="384">
        <v>90</v>
      </c>
      <c r="Y29" s="384">
        <v>97</v>
      </c>
      <c r="Z29" s="384">
        <v>103</v>
      </c>
      <c r="AC29" s="380">
        <v>20</v>
      </c>
      <c r="AD29" s="384">
        <v>53</v>
      </c>
      <c r="AE29" s="384">
        <v>53</v>
      </c>
      <c r="AF29" s="384">
        <v>53</v>
      </c>
      <c r="AG29" s="384">
        <v>53</v>
      </c>
      <c r="AH29" s="384">
        <v>53</v>
      </c>
      <c r="AI29" s="384">
        <v>57</v>
      </c>
      <c r="AJ29" s="384">
        <v>57</v>
      </c>
      <c r="AK29" s="384">
        <v>57</v>
      </c>
      <c r="AL29" s="384">
        <v>61</v>
      </c>
      <c r="AM29" s="384">
        <v>61</v>
      </c>
      <c r="AN29" s="384">
        <v>65</v>
      </c>
      <c r="AO29" s="384">
        <v>65</v>
      </c>
      <c r="AP29" s="384">
        <v>69</v>
      </c>
      <c r="AQ29" s="384">
        <v>73</v>
      </c>
      <c r="AR29" s="384">
        <v>73</v>
      </c>
      <c r="AS29" s="384">
        <v>78</v>
      </c>
      <c r="AT29" s="384">
        <v>81</v>
      </c>
      <c r="AU29" s="384">
        <v>85</v>
      </c>
      <c r="AV29" s="384">
        <v>85</v>
      </c>
      <c r="AW29" s="384">
        <v>85</v>
      </c>
      <c r="AX29" s="384">
        <v>85</v>
      </c>
      <c r="AY29" s="384">
        <v>85</v>
      </c>
      <c r="AZ29" s="384">
        <v>90</v>
      </c>
      <c r="BA29" s="384">
        <v>97</v>
      </c>
      <c r="BB29" s="384">
        <v>103</v>
      </c>
      <c r="BE29" s="380">
        <v>20</v>
      </c>
      <c r="BF29" s="384">
        <v>53</v>
      </c>
      <c r="BG29" s="384">
        <v>53</v>
      </c>
      <c r="BH29" s="384">
        <v>53</v>
      </c>
      <c r="BI29" s="384">
        <v>53</v>
      </c>
      <c r="BJ29" s="384">
        <v>53</v>
      </c>
      <c r="BK29" s="384">
        <v>57</v>
      </c>
      <c r="BL29" s="384">
        <v>57</v>
      </c>
      <c r="BM29" s="384">
        <v>57</v>
      </c>
      <c r="BN29" s="384">
        <v>61</v>
      </c>
      <c r="BO29" s="384">
        <v>61</v>
      </c>
      <c r="BP29" s="384">
        <v>65</v>
      </c>
      <c r="BQ29" s="384">
        <v>65</v>
      </c>
      <c r="BR29" s="384">
        <v>69</v>
      </c>
      <c r="BS29" s="384">
        <v>73</v>
      </c>
      <c r="BT29" s="384">
        <v>73</v>
      </c>
      <c r="BU29" s="384">
        <v>78</v>
      </c>
      <c r="BV29" s="384">
        <v>81</v>
      </c>
      <c r="BW29" s="384">
        <v>85</v>
      </c>
      <c r="BX29" s="384">
        <v>85</v>
      </c>
      <c r="BY29" s="384">
        <v>85</v>
      </c>
      <c r="BZ29" s="384">
        <v>85</v>
      </c>
      <c r="CA29" s="384">
        <v>85</v>
      </c>
      <c r="CB29" s="384">
        <v>90</v>
      </c>
      <c r="CC29" s="384">
        <v>97</v>
      </c>
      <c r="CD29" s="384">
        <v>103</v>
      </c>
      <c r="CG29" s="380">
        <v>20</v>
      </c>
      <c r="CH29" s="384">
        <v>61</v>
      </c>
      <c r="CI29" s="384">
        <v>61</v>
      </c>
      <c r="CJ29" s="384">
        <v>61</v>
      </c>
      <c r="CK29" s="384">
        <v>61</v>
      </c>
      <c r="CL29" s="384">
        <v>65</v>
      </c>
      <c r="CM29" s="384">
        <v>69</v>
      </c>
      <c r="CN29" s="384">
        <v>69</v>
      </c>
      <c r="CO29" s="384">
        <v>69</v>
      </c>
      <c r="CP29" s="384">
        <v>73</v>
      </c>
      <c r="CQ29" s="384">
        <v>73</v>
      </c>
      <c r="CR29" s="384">
        <v>76</v>
      </c>
      <c r="CS29" s="384">
        <v>76</v>
      </c>
      <c r="CT29" s="384">
        <v>78</v>
      </c>
      <c r="CU29" s="384">
        <v>81</v>
      </c>
      <c r="CV29" s="384">
        <v>83</v>
      </c>
      <c r="CW29" s="384">
        <v>85</v>
      </c>
      <c r="CX29" s="384">
        <v>85</v>
      </c>
      <c r="CY29" s="384">
        <v>90</v>
      </c>
      <c r="CZ29" s="384">
        <v>90</v>
      </c>
      <c r="DA29" s="384">
        <v>94</v>
      </c>
      <c r="DB29" s="384">
        <v>97</v>
      </c>
      <c r="DC29" s="384">
        <v>100</v>
      </c>
      <c r="DD29" s="384">
        <v>106</v>
      </c>
      <c r="DE29" s="384">
        <v>109</v>
      </c>
      <c r="DF29" s="384">
        <v>112</v>
      </c>
      <c r="DI29" s="380">
        <v>20</v>
      </c>
      <c r="DJ29" s="384">
        <v>69</v>
      </c>
      <c r="DK29" s="384">
        <v>69</v>
      </c>
      <c r="DL29" s="384">
        <v>73</v>
      </c>
      <c r="DM29" s="384">
        <v>73</v>
      </c>
      <c r="DN29" s="384">
        <v>76</v>
      </c>
      <c r="DO29" s="384">
        <v>76</v>
      </c>
      <c r="DP29" s="384">
        <v>76</v>
      </c>
      <c r="DQ29" s="384">
        <v>78</v>
      </c>
      <c r="DR29" s="384">
        <v>78</v>
      </c>
      <c r="DS29" s="384">
        <v>81</v>
      </c>
      <c r="DT29" s="384">
        <v>81</v>
      </c>
      <c r="DU29" s="384">
        <v>83</v>
      </c>
      <c r="DV29" s="384">
        <v>87</v>
      </c>
      <c r="DW29" s="384">
        <v>90</v>
      </c>
      <c r="DX29" s="384">
        <v>90</v>
      </c>
      <c r="DY29" s="384">
        <v>94</v>
      </c>
      <c r="DZ29" s="384">
        <v>94</v>
      </c>
      <c r="EA29" s="384">
        <v>97</v>
      </c>
      <c r="EB29" s="384">
        <v>100</v>
      </c>
      <c r="EC29" s="384">
        <v>103</v>
      </c>
      <c r="ED29" s="384">
        <v>103</v>
      </c>
      <c r="EE29" s="384">
        <v>106</v>
      </c>
      <c r="EF29" s="384">
        <v>109</v>
      </c>
      <c r="EG29" s="384">
        <v>112</v>
      </c>
      <c r="EH29" s="384">
        <v>114</v>
      </c>
    </row>
    <row r="30" spans="1:138" x14ac:dyDescent="0.15">
      <c r="A30" s="380">
        <v>21</v>
      </c>
      <c r="B30" s="385">
        <v>57</v>
      </c>
      <c r="C30" s="384">
        <v>57</v>
      </c>
      <c r="D30" s="384">
        <v>57</v>
      </c>
      <c r="E30" s="384">
        <v>57</v>
      </c>
      <c r="F30" s="384">
        <v>57</v>
      </c>
      <c r="G30" s="384">
        <v>57</v>
      </c>
      <c r="H30" s="384">
        <v>61</v>
      </c>
      <c r="I30" s="384">
        <v>61</v>
      </c>
      <c r="J30" s="384">
        <v>65</v>
      </c>
      <c r="K30" s="384">
        <v>65</v>
      </c>
      <c r="L30" s="384">
        <v>69</v>
      </c>
      <c r="M30" s="384">
        <v>69</v>
      </c>
      <c r="N30" s="384">
        <v>73</v>
      </c>
      <c r="O30" s="384">
        <v>76</v>
      </c>
      <c r="P30" s="384">
        <v>76</v>
      </c>
      <c r="Q30" s="384">
        <v>81</v>
      </c>
      <c r="R30" s="384">
        <v>83</v>
      </c>
      <c r="S30" s="384">
        <v>87</v>
      </c>
      <c r="T30" s="384">
        <v>87</v>
      </c>
      <c r="U30" s="384">
        <v>87</v>
      </c>
      <c r="V30" s="384">
        <v>87</v>
      </c>
      <c r="W30" s="384">
        <v>87</v>
      </c>
      <c r="X30" s="384">
        <v>94</v>
      </c>
      <c r="Y30" s="384">
        <v>100</v>
      </c>
      <c r="Z30" s="384">
        <v>106</v>
      </c>
      <c r="AC30" s="380">
        <v>21</v>
      </c>
      <c r="AD30" s="384">
        <v>57</v>
      </c>
      <c r="AE30" s="384">
        <v>57</v>
      </c>
      <c r="AF30" s="384">
        <v>57</v>
      </c>
      <c r="AG30" s="384">
        <v>57</v>
      </c>
      <c r="AH30" s="384">
        <v>57</v>
      </c>
      <c r="AI30" s="384">
        <v>61</v>
      </c>
      <c r="AJ30" s="384">
        <v>61</v>
      </c>
      <c r="AK30" s="384">
        <v>61</v>
      </c>
      <c r="AL30" s="384">
        <v>65</v>
      </c>
      <c r="AM30" s="384">
        <v>65</v>
      </c>
      <c r="AN30" s="384">
        <v>69</v>
      </c>
      <c r="AO30" s="384">
        <v>69</v>
      </c>
      <c r="AP30" s="384">
        <v>73</v>
      </c>
      <c r="AQ30" s="384">
        <v>76</v>
      </c>
      <c r="AR30" s="384">
        <v>76</v>
      </c>
      <c r="AS30" s="384">
        <v>81</v>
      </c>
      <c r="AT30" s="384">
        <v>83</v>
      </c>
      <c r="AU30" s="384">
        <v>87</v>
      </c>
      <c r="AV30" s="384">
        <v>87</v>
      </c>
      <c r="AW30" s="384">
        <v>87</v>
      </c>
      <c r="AX30" s="384">
        <v>87</v>
      </c>
      <c r="AY30" s="384">
        <v>87</v>
      </c>
      <c r="AZ30" s="384">
        <v>94</v>
      </c>
      <c r="BA30" s="384">
        <v>100</v>
      </c>
      <c r="BB30" s="384">
        <v>106</v>
      </c>
      <c r="BE30" s="380">
        <v>21</v>
      </c>
      <c r="BF30" s="384">
        <v>57</v>
      </c>
      <c r="BG30" s="384">
        <v>57</v>
      </c>
      <c r="BH30" s="384">
        <v>57</v>
      </c>
      <c r="BI30" s="384">
        <v>57</v>
      </c>
      <c r="BJ30" s="384">
        <v>57</v>
      </c>
      <c r="BK30" s="384">
        <v>61</v>
      </c>
      <c r="BL30" s="384">
        <v>61</v>
      </c>
      <c r="BM30" s="384">
        <v>61</v>
      </c>
      <c r="BN30" s="384">
        <v>65</v>
      </c>
      <c r="BO30" s="384">
        <v>65</v>
      </c>
      <c r="BP30" s="384">
        <v>69</v>
      </c>
      <c r="BQ30" s="384">
        <v>69</v>
      </c>
      <c r="BR30" s="384">
        <v>73</v>
      </c>
      <c r="BS30" s="384">
        <v>76</v>
      </c>
      <c r="BT30" s="384">
        <v>76</v>
      </c>
      <c r="BU30" s="384">
        <v>81</v>
      </c>
      <c r="BV30" s="384">
        <v>83</v>
      </c>
      <c r="BW30" s="384">
        <v>87</v>
      </c>
      <c r="BX30" s="384">
        <v>87</v>
      </c>
      <c r="BY30" s="384">
        <v>87</v>
      </c>
      <c r="BZ30" s="384">
        <v>87</v>
      </c>
      <c r="CA30" s="384">
        <v>87</v>
      </c>
      <c r="CB30" s="384">
        <v>94</v>
      </c>
      <c r="CC30" s="384">
        <v>100</v>
      </c>
      <c r="CD30" s="384">
        <v>106</v>
      </c>
      <c r="CG30" s="380">
        <v>21</v>
      </c>
      <c r="CH30" s="384">
        <v>65</v>
      </c>
      <c r="CI30" s="384">
        <v>65</v>
      </c>
      <c r="CJ30" s="384">
        <v>65</v>
      </c>
      <c r="CK30" s="384">
        <v>65</v>
      </c>
      <c r="CL30" s="384">
        <v>69</v>
      </c>
      <c r="CM30" s="384">
        <v>73</v>
      </c>
      <c r="CN30" s="384">
        <v>73</v>
      </c>
      <c r="CO30" s="384">
        <v>73</v>
      </c>
      <c r="CP30" s="384">
        <v>76</v>
      </c>
      <c r="CQ30" s="384">
        <v>76</v>
      </c>
      <c r="CR30" s="384">
        <v>78</v>
      </c>
      <c r="CS30" s="384">
        <v>78</v>
      </c>
      <c r="CT30" s="384">
        <v>81</v>
      </c>
      <c r="CU30" s="384">
        <v>83</v>
      </c>
      <c r="CV30" s="384">
        <v>85</v>
      </c>
      <c r="CW30" s="384">
        <v>87</v>
      </c>
      <c r="CX30" s="384">
        <v>87</v>
      </c>
      <c r="CY30" s="384">
        <v>94</v>
      </c>
      <c r="CZ30" s="384">
        <v>94</v>
      </c>
      <c r="DA30" s="384">
        <v>94</v>
      </c>
      <c r="DB30" s="384">
        <v>97</v>
      </c>
      <c r="DC30" s="384">
        <v>100</v>
      </c>
      <c r="DD30" s="384">
        <v>106</v>
      </c>
      <c r="DE30" s="384">
        <v>109</v>
      </c>
      <c r="DF30" s="384">
        <v>112</v>
      </c>
      <c r="DI30" s="380">
        <v>21</v>
      </c>
      <c r="DJ30" s="384">
        <v>73</v>
      </c>
      <c r="DK30" s="384">
        <v>73</v>
      </c>
      <c r="DL30" s="384">
        <v>76</v>
      </c>
      <c r="DM30" s="384">
        <v>76</v>
      </c>
      <c r="DN30" s="384">
        <v>78</v>
      </c>
      <c r="DO30" s="384">
        <v>78</v>
      </c>
      <c r="DP30" s="384">
        <v>78</v>
      </c>
      <c r="DQ30" s="384">
        <v>81</v>
      </c>
      <c r="DR30" s="384">
        <v>81</v>
      </c>
      <c r="DS30" s="384">
        <v>83</v>
      </c>
      <c r="DT30" s="384">
        <v>83</v>
      </c>
      <c r="DU30" s="384">
        <v>85</v>
      </c>
      <c r="DV30" s="384">
        <v>90</v>
      </c>
      <c r="DW30" s="384">
        <v>94</v>
      </c>
      <c r="DX30" s="384">
        <v>94</v>
      </c>
      <c r="DY30" s="384">
        <v>97</v>
      </c>
      <c r="DZ30" s="384">
        <v>97</v>
      </c>
      <c r="EA30" s="384">
        <v>100</v>
      </c>
      <c r="EB30" s="384">
        <v>103</v>
      </c>
      <c r="EC30" s="384">
        <v>106</v>
      </c>
      <c r="ED30" s="384">
        <v>106</v>
      </c>
      <c r="EE30" s="384">
        <v>109</v>
      </c>
      <c r="EF30" s="384">
        <v>112</v>
      </c>
      <c r="EG30" s="384">
        <v>114</v>
      </c>
      <c r="EH30" s="384">
        <v>117</v>
      </c>
    </row>
    <row r="31" spans="1:138" x14ac:dyDescent="0.15">
      <c r="A31" s="380">
        <v>22</v>
      </c>
      <c r="B31" s="385">
        <v>61</v>
      </c>
      <c r="C31" s="384">
        <v>61</v>
      </c>
      <c r="D31" s="384">
        <v>61</v>
      </c>
      <c r="E31" s="384">
        <v>61</v>
      </c>
      <c r="F31" s="384">
        <v>61</v>
      </c>
      <c r="G31" s="384">
        <v>61</v>
      </c>
      <c r="H31" s="384">
        <v>65</v>
      </c>
      <c r="I31" s="384">
        <v>65</v>
      </c>
      <c r="J31" s="384">
        <v>69</v>
      </c>
      <c r="K31" s="384">
        <v>69</v>
      </c>
      <c r="L31" s="384">
        <v>73</v>
      </c>
      <c r="M31" s="384">
        <v>73</v>
      </c>
      <c r="N31" s="384">
        <v>76</v>
      </c>
      <c r="O31" s="384">
        <v>78</v>
      </c>
      <c r="P31" s="384">
        <v>78</v>
      </c>
      <c r="Q31" s="384">
        <v>83</v>
      </c>
      <c r="R31" s="384">
        <v>85</v>
      </c>
      <c r="S31" s="384">
        <v>90</v>
      </c>
      <c r="T31" s="384">
        <v>90</v>
      </c>
      <c r="U31" s="384">
        <v>90</v>
      </c>
      <c r="V31" s="384">
        <v>90</v>
      </c>
      <c r="W31" s="384">
        <v>90</v>
      </c>
      <c r="X31" s="384">
        <v>97</v>
      </c>
      <c r="Y31" s="384">
        <v>103</v>
      </c>
      <c r="Z31" s="384">
        <v>109</v>
      </c>
      <c r="AC31" s="380">
        <v>22</v>
      </c>
      <c r="AD31" s="384">
        <v>61</v>
      </c>
      <c r="AE31" s="384">
        <v>61</v>
      </c>
      <c r="AF31" s="384">
        <v>61</v>
      </c>
      <c r="AG31" s="384">
        <v>61</v>
      </c>
      <c r="AH31" s="384">
        <v>61</v>
      </c>
      <c r="AI31" s="384">
        <v>65</v>
      </c>
      <c r="AJ31" s="384">
        <v>65</v>
      </c>
      <c r="AK31" s="384">
        <v>65</v>
      </c>
      <c r="AL31" s="384">
        <v>69</v>
      </c>
      <c r="AM31" s="384">
        <v>69</v>
      </c>
      <c r="AN31" s="384">
        <v>73</v>
      </c>
      <c r="AO31" s="384">
        <v>73</v>
      </c>
      <c r="AP31" s="384">
        <v>76</v>
      </c>
      <c r="AQ31" s="384">
        <v>78</v>
      </c>
      <c r="AR31" s="384">
        <v>78</v>
      </c>
      <c r="AS31" s="384">
        <v>83</v>
      </c>
      <c r="AT31" s="384">
        <v>85</v>
      </c>
      <c r="AU31" s="384">
        <v>90</v>
      </c>
      <c r="AV31" s="384">
        <v>90</v>
      </c>
      <c r="AW31" s="384">
        <v>90</v>
      </c>
      <c r="AX31" s="384">
        <v>90</v>
      </c>
      <c r="AY31" s="384">
        <v>90</v>
      </c>
      <c r="AZ31" s="384">
        <v>97</v>
      </c>
      <c r="BA31" s="384">
        <v>103</v>
      </c>
      <c r="BB31" s="384">
        <v>109</v>
      </c>
      <c r="BE31" s="380">
        <v>22</v>
      </c>
      <c r="BF31" s="384">
        <v>61</v>
      </c>
      <c r="BG31" s="384">
        <v>61</v>
      </c>
      <c r="BH31" s="384">
        <v>61</v>
      </c>
      <c r="BI31" s="384">
        <v>61</v>
      </c>
      <c r="BJ31" s="384">
        <v>61</v>
      </c>
      <c r="BK31" s="384">
        <v>65</v>
      </c>
      <c r="BL31" s="384">
        <v>65</v>
      </c>
      <c r="BM31" s="384">
        <v>65</v>
      </c>
      <c r="BN31" s="384">
        <v>69</v>
      </c>
      <c r="BO31" s="384">
        <v>69</v>
      </c>
      <c r="BP31" s="384">
        <v>73</v>
      </c>
      <c r="BQ31" s="384">
        <v>73</v>
      </c>
      <c r="BR31" s="384">
        <v>76</v>
      </c>
      <c r="BS31" s="384">
        <v>78</v>
      </c>
      <c r="BT31" s="384">
        <v>78</v>
      </c>
      <c r="BU31" s="384">
        <v>83</v>
      </c>
      <c r="BV31" s="384">
        <v>85</v>
      </c>
      <c r="BW31" s="384">
        <v>90</v>
      </c>
      <c r="BX31" s="384">
        <v>90</v>
      </c>
      <c r="BY31" s="384">
        <v>90</v>
      </c>
      <c r="BZ31" s="384">
        <v>90</v>
      </c>
      <c r="CA31" s="384">
        <v>90</v>
      </c>
      <c r="CB31" s="384">
        <v>97</v>
      </c>
      <c r="CC31" s="384">
        <v>103</v>
      </c>
      <c r="CD31" s="384">
        <v>109</v>
      </c>
      <c r="CG31" s="380">
        <v>22</v>
      </c>
      <c r="CH31" s="384">
        <v>65</v>
      </c>
      <c r="CI31" s="384">
        <v>65</v>
      </c>
      <c r="CJ31" s="384">
        <v>65</v>
      </c>
      <c r="CK31" s="384">
        <v>65</v>
      </c>
      <c r="CL31" s="384">
        <v>69</v>
      </c>
      <c r="CM31" s="384">
        <v>73</v>
      </c>
      <c r="CN31" s="384">
        <v>73</v>
      </c>
      <c r="CO31" s="384">
        <v>73</v>
      </c>
      <c r="CP31" s="384">
        <v>76</v>
      </c>
      <c r="CQ31" s="384">
        <v>76</v>
      </c>
      <c r="CR31" s="384">
        <v>78</v>
      </c>
      <c r="CS31" s="384">
        <v>78</v>
      </c>
      <c r="CT31" s="384">
        <v>81</v>
      </c>
      <c r="CU31" s="384">
        <v>83</v>
      </c>
      <c r="CV31" s="384">
        <v>85</v>
      </c>
      <c r="CW31" s="384">
        <v>87</v>
      </c>
      <c r="CX31" s="384">
        <v>87</v>
      </c>
      <c r="CY31" s="384">
        <v>94</v>
      </c>
      <c r="CZ31" s="384">
        <v>94</v>
      </c>
      <c r="DA31" s="384">
        <v>94</v>
      </c>
      <c r="DB31" s="384">
        <v>97</v>
      </c>
      <c r="DC31" s="384">
        <v>100</v>
      </c>
      <c r="DD31" s="384">
        <v>106</v>
      </c>
      <c r="DE31" s="384">
        <v>109</v>
      </c>
      <c r="DF31" s="384">
        <v>112</v>
      </c>
      <c r="DI31" s="380">
        <v>22</v>
      </c>
      <c r="DJ31" s="384">
        <v>73</v>
      </c>
      <c r="DK31" s="384">
        <v>73</v>
      </c>
      <c r="DL31" s="384">
        <v>76</v>
      </c>
      <c r="DM31" s="384">
        <v>76</v>
      </c>
      <c r="DN31" s="384">
        <v>78</v>
      </c>
      <c r="DO31" s="384">
        <v>78</v>
      </c>
      <c r="DP31" s="384">
        <v>78</v>
      </c>
      <c r="DQ31" s="384">
        <v>81</v>
      </c>
      <c r="DR31" s="384">
        <v>81</v>
      </c>
      <c r="DS31" s="384">
        <v>83</v>
      </c>
      <c r="DT31" s="384">
        <v>83</v>
      </c>
      <c r="DU31" s="384">
        <v>85</v>
      </c>
      <c r="DV31" s="384">
        <v>90</v>
      </c>
      <c r="DW31" s="384">
        <v>94</v>
      </c>
      <c r="DX31" s="384">
        <v>94</v>
      </c>
      <c r="DY31" s="384">
        <v>97</v>
      </c>
      <c r="DZ31" s="384">
        <v>97</v>
      </c>
      <c r="EA31" s="384">
        <v>100</v>
      </c>
      <c r="EB31" s="384">
        <v>103</v>
      </c>
      <c r="EC31" s="384">
        <v>106</v>
      </c>
      <c r="ED31" s="384">
        <v>106</v>
      </c>
      <c r="EE31" s="384">
        <v>109</v>
      </c>
      <c r="EF31" s="384">
        <v>112</v>
      </c>
      <c r="EG31" s="384">
        <v>114</v>
      </c>
      <c r="EH31" s="384">
        <v>117</v>
      </c>
    </row>
    <row r="32" spans="1:138" x14ac:dyDescent="0.15">
      <c r="A32" s="380">
        <v>23</v>
      </c>
      <c r="B32" s="385">
        <v>61</v>
      </c>
      <c r="C32" s="384">
        <v>61</v>
      </c>
      <c r="D32" s="384">
        <v>61</v>
      </c>
      <c r="E32" s="384">
        <v>61</v>
      </c>
      <c r="F32" s="384">
        <v>61</v>
      </c>
      <c r="G32" s="384">
        <v>61</v>
      </c>
      <c r="H32" s="384">
        <v>65</v>
      </c>
      <c r="I32" s="384">
        <v>65</v>
      </c>
      <c r="J32" s="384">
        <v>69</v>
      </c>
      <c r="K32" s="384">
        <v>69</v>
      </c>
      <c r="L32" s="384">
        <v>73</v>
      </c>
      <c r="M32" s="384">
        <v>73</v>
      </c>
      <c r="N32" s="384">
        <v>76</v>
      </c>
      <c r="O32" s="384">
        <v>78</v>
      </c>
      <c r="P32" s="384">
        <v>78</v>
      </c>
      <c r="Q32" s="384">
        <v>83</v>
      </c>
      <c r="R32" s="384">
        <v>85</v>
      </c>
      <c r="S32" s="384">
        <v>90</v>
      </c>
      <c r="T32" s="384">
        <v>90</v>
      </c>
      <c r="U32" s="384">
        <v>90</v>
      </c>
      <c r="V32" s="384">
        <v>90</v>
      </c>
      <c r="W32" s="384">
        <v>90</v>
      </c>
      <c r="X32" s="384">
        <v>97</v>
      </c>
      <c r="Y32" s="384">
        <v>103</v>
      </c>
      <c r="Z32" s="384">
        <v>109</v>
      </c>
      <c r="AC32" s="380">
        <v>23</v>
      </c>
      <c r="AD32" s="384">
        <v>61</v>
      </c>
      <c r="AE32" s="384">
        <v>61</v>
      </c>
      <c r="AF32" s="384">
        <v>61</v>
      </c>
      <c r="AG32" s="384">
        <v>61</v>
      </c>
      <c r="AH32" s="384">
        <v>61</v>
      </c>
      <c r="AI32" s="384">
        <v>65</v>
      </c>
      <c r="AJ32" s="384">
        <v>65</v>
      </c>
      <c r="AK32" s="384">
        <v>65</v>
      </c>
      <c r="AL32" s="384">
        <v>69</v>
      </c>
      <c r="AM32" s="384">
        <v>69</v>
      </c>
      <c r="AN32" s="384">
        <v>73</v>
      </c>
      <c r="AO32" s="384">
        <v>73</v>
      </c>
      <c r="AP32" s="384">
        <v>76</v>
      </c>
      <c r="AQ32" s="384">
        <v>78</v>
      </c>
      <c r="AR32" s="384">
        <v>78</v>
      </c>
      <c r="AS32" s="384">
        <v>83</v>
      </c>
      <c r="AT32" s="384">
        <v>85</v>
      </c>
      <c r="AU32" s="384">
        <v>90</v>
      </c>
      <c r="AV32" s="384">
        <v>90</v>
      </c>
      <c r="AW32" s="384">
        <v>90</v>
      </c>
      <c r="AX32" s="384">
        <v>90</v>
      </c>
      <c r="AY32" s="384">
        <v>90</v>
      </c>
      <c r="AZ32" s="384">
        <v>97</v>
      </c>
      <c r="BA32" s="384">
        <v>103</v>
      </c>
      <c r="BB32" s="384">
        <v>109</v>
      </c>
      <c r="BE32" s="380">
        <v>23</v>
      </c>
      <c r="BF32" s="384">
        <v>61</v>
      </c>
      <c r="BG32" s="384">
        <v>61</v>
      </c>
      <c r="BH32" s="384">
        <v>61</v>
      </c>
      <c r="BI32" s="384">
        <v>61</v>
      </c>
      <c r="BJ32" s="384">
        <v>61</v>
      </c>
      <c r="BK32" s="384">
        <v>65</v>
      </c>
      <c r="BL32" s="384">
        <v>65</v>
      </c>
      <c r="BM32" s="384">
        <v>65</v>
      </c>
      <c r="BN32" s="384">
        <v>69</v>
      </c>
      <c r="BO32" s="384">
        <v>69</v>
      </c>
      <c r="BP32" s="384">
        <v>73</v>
      </c>
      <c r="BQ32" s="384">
        <v>73</v>
      </c>
      <c r="BR32" s="384">
        <v>76</v>
      </c>
      <c r="BS32" s="384">
        <v>78</v>
      </c>
      <c r="BT32" s="384">
        <v>78</v>
      </c>
      <c r="BU32" s="384">
        <v>83</v>
      </c>
      <c r="BV32" s="384">
        <v>85</v>
      </c>
      <c r="BW32" s="384">
        <v>90</v>
      </c>
      <c r="BX32" s="384">
        <v>90</v>
      </c>
      <c r="BY32" s="384">
        <v>90</v>
      </c>
      <c r="BZ32" s="384">
        <v>90</v>
      </c>
      <c r="CA32" s="384">
        <v>90</v>
      </c>
      <c r="CB32" s="384">
        <v>97</v>
      </c>
      <c r="CC32" s="384">
        <v>103</v>
      </c>
      <c r="CD32" s="384">
        <v>109</v>
      </c>
      <c r="CG32" s="380">
        <v>23</v>
      </c>
      <c r="CH32" s="384">
        <v>69</v>
      </c>
      <c r="CI32" s="384">
        <v>69</v>
      </c>
      <c r="CJ32" s="384">
        <v>69</v>
      </c>
      <c r="CK32" s="384">
        <v>69</v>
      </c>
      <c r="CL32" s="384">
        <v>73</v>
      </c>
      <c r="CM32" s="384">
        <v>76</v>
      </c>
      <c r="CN32" s="384">
        <v>76</v>
      </c>
      <c r="CO32" s="384">
        <v>76</v>
      </c>
      <c r="CP32" s="384">
        <v>78</v>
      </c>
      <c r="CQ32" s="384">
        <v>78</v>
      </c>
      <c r="CR32" s="384">
        <v>81</v>
      </c>
      <c r="CS32" s="384">
        <v>81</v>
      </c>
      <c r="CT32" s="384">
        <v>83</v>
      </c>
      <c r="CU32" s="384">
        <v>85</v>
      </c>
      <c r="CV32" s="384">
        <v>87</v>
      </c>
      <c r="CW32" s="384">
        <v>90</v>
      </c>
      <c r="CX32" s="384">
        <v>90</v>
      </c>
      <c r="CY32" s="384">
        <v>97</v>
      </c>
      <c r="CZ32" s="384">
        <v>97</v>
      </c>
      <c r="DA32" s="384">
        <v>97</v>
      </c>
      <c r="DB32" s="384">
        <v>100</v>
      </c>
      <c r="DC32" s="384">
        <v>103</v>
      </c>
      <c r="DD32" s="384">
        <v>109</v>
      </c>
      <c r="DE32" s="384">
        <v>112</v>
      </c>
      <c r="DF32" s="384">
        <v>114</v>
      </c>
      <c r="DI32" s="380">
        <v>23</v>
      </c>
      <c r="DJ32" s="384">
        <v>76</v>
      </c>
      <c r="DK32" s="384">
        <v>76</v>
      </c>
      <c r="DL32" s="384">
        <v>78</v>
      </c>
      <c r="DM32" s="384">
        <v>78</v>
      </c>
      <c r="DN32" s="384">
        <v>81</v>
      </c>
      <c r="DO32" s="384">
        <v>81</v>
      </c>
      <c r="DP32" s="384">
        <v>81</v>
      </c>
      <c r="DQ32" s="384">
        <v>83</v>
      </c>
      <c r="DR32" s="384">
        <v>83</v>
      </c>
      <c r="DS32" s="384">
        <v>85</v>
      </c>
      <c r="DT32" s="384">
        <v>85</v>
      </c>
      <c r="DU32" s="384">
        <v>87</v>
      </c>
      <c r="DV32" s="384">
        <v>94</v>
      </c>
      <c r="DW32" s="384">
        <v>97</v>
      </c>
      <c r="DX32" s="384">
        <v>97</v>
      </c>
      <c r="DY32" s="384">
        <v>100</v>
      </c>
      <c r="DZ32" s="384">
        <v>100</v>
      </c>
      <c r="EA32" s="384">
        <v>103</v>
      </c>
      <c r="EB32" s="384">
        <v>106</v>
      </c>
      <c r="EC32" s="384">
        <v>109</v>
      </c>
      <c r="ED32" s="384">
        <v>109</v>
      </c>
      <c r="EE32" s="384">
        <v>112</v>
      </c>
      <c r="EF32" s="384">
        <v>114</v>
      </c>
      <c r="EG32" s="384">
        <v>117</v>
      </c>
      <c r="EH32" s="384">
        <v>120</v>
      </c>
    </row>
    <row r="33" spans="1:138" x14ac:dyDescent="0.15">
      <c r="A33" s="380">
        <v>24</v>
      </c>
      <c r="B33" s="385">
        <v>65</v>
      </c>
      <c r="C33" s="384">
        <v>65</v>
      </c>
      <c r="D33" s="384">
        <v>65</v>
      </c>
      <c r="E33" s="384">
        <v>65</v>
      </c>
      <c r="F33" s="384">
        <v>65</v>
      </c>
      <c r="G33" s="384">
        <v>65</v>
      </c>
      <c r="H33" s="384">
        <v>69</v>
      </c>
      <c r="I33" s="384">
        <v>69</v>
      </c>
      <c r="J33" s="384">
        <v>73</v>
      </c>
      <c r="K33" s="384">
        <v>73</v>
      </c>
      <c r="L33" s="384">
        <v>76</v>
      </c>
      <c r="M33" s="384">
        <v>76</v>
      </c>
      <c r="N33" s="384">
        <v>78</v>
      </c>
      <c r="O33" s="384">
        <v>81</v>
      </c>
      <c r="P33" s="384">
        <v>81</v>
      </c>
      <c r="Q33" s="384">
        <v>85</v>
      </c>
      <c r="R33" s="384">
        <v>87</v>
      </c>
      <c r="S33" s="384">
        <v>94</v>
      </c>
      <c r="T33" s="384">
        <v>94</v>
      </c>
      <c r="U33" s="384">
        <v>94</v>
      </c>
      <c r="V33" s="384">
        <v>94</v>
      </c>
      <c r="W33" s="384">
        <v>94</v>
      </c>
      <c r="X33" s="384">
        <v>100</v>
      </c>
      <c r="Y33" s="384">
        <v>106</v>
      </c>
      <c r="Z33" s="384">
        <v>112</v>
      </c>
      <c r="AC33" s="380">
        <v>24</v>
      </c>
      <c r="AD33" s="384">
        <v>65</v>
      </c>
      <c r="AE33" s="384">
        <v>65</v>
      </c>
      <c r="AF33" s="384">
        <v>65</v>
      </c>
      <c r="AG33" s="384">
        <v>65</v>
      </c>
      <c r="AH33" s="384">
        <v>65</v>
      </c>
      <c r="AI33" s="384">
        <v>69</v>
      </c>
      <c r="AJ33" s="384">
        <v>69</v>
      </c>
      <c r="AK33" s="384">
        <v>69</v>
      </c>
      <c r="AL33" s="384">
        <v>73</v>
      </c>
      <c r="AM33" s="384">
        <v>73</v>
      </c>
      <c r="AN33" s="384">
        <v>76</v>
      </c>
      <c r="AO33" s="384">
        <v>76</v>
      </c>
      <c r="AP33" s="384">
        <v>78</v>
      </c>
      <c r="AQ33" s="384">
        <v>81</v>
      </c>
      <c r="AR33" s="384">
        <v>81</v>
      </c>
      <c r="AS33" s="384">
        <v>85</v>
      </c>
      <c r="AT33" s="384">
        <v>87</v>
      </c>
      <c r="AU33" s="384">
        <v>94</v>
      </c>
      <c r="AV33" s="384">
        <v>94</v>
      </c>
      <c r="AW33" s="384">
        <v>94</v>
      </c>
      <c r="AX33" s="384">
        <v>94</v>
      </c>
      <c r="AY33" s="384">
        <v>94</v>
      </c>
      <c r="AZ33" s="384">
        <v>100</v>
      </c>
      <c r="BA33" s="384">
        <v>106</v>
      </c>
      <c r="BB33" s="384">
        <v>112</v>
      </c>
      <c r="BE33" s="380">
        <v>24</v>
      </c>
      <c r="BF33" s="384">
        <v>65</v>
      </c>
      <c r="BG33" s="384">
        <v>65</v>
      </c>
      <c r="BH33" s="384">
        <v>65</v>
      </c>
      <c r="BI33" s="384">
        <v>65</v>
      </c>
      <c r="BJ33" s="384">
        <v>65</v>
      </c>
      <c r="BK33" s="384">
        <v>69</v>
      </c>
      <c r="BL33" s="384">
        <v>69</v>
      </c>
      <c r="BM33" s="384">
        <v>69</v>
      </c>
      <c r="BN33" s="384">
        <v>73</v>
      </c>
      <c r="BO33" s="384">
        <v>73</v>
      </c>
      <c r="BP33" s="384">
        <v>76</v>
      </c>
      <c r="BQ33" s="384">
        <v>76</v>
      </c>
      <c r="BR33" s="384">
        <v>78</v>
      </c>
      <c r="BS33" s="384">
        <v>81</v>
      </c>
      <c r="BT33" s="384">
        <v>81</v>
      </c>
      <c r="BU33" s="384">
        <v>85</v>
      </c>
      <c r="BV33" s="384">
        <v>87</v>
      </c>
      <c r="BW33" s="384">
        <v>94</v>
      </c>
      <c r="BX33" s="384">
        <v>94</v>
      </c>
      <c r="BY33" s="384">
        <v>94</v>
      </c>
      <c r="BZ33" s="384">
        <v>94</v>
      </c>
      <c r="CA33" s="384">
        <v>94</v>
      </c>
      <c r="CB33" s="384">
        <v>100</v>
      </c>
      <c r="CC33" s="384">
        <v>106</v>
      </c>
      <c r="CD33" s="384">
        <v>112</v>
      </c>
      <c r="CG33" s="380">
        <v>24</v>
      </c>
      <c r="CH33" s="384">
        <v>73</v>
      </c>
      <c r="CI33" s="384">
        <v>73</v>
      </c>
      <c r="CJ33" s="384">
        <v>73</v>
      </c>
      <c r="CK33" s="384">
        <v>73</v>
      </c>
      <c r="CL33" s="384">
        <v>76</v>
      </c>
      <c r="CM33" s="384">
        <v>78</v>
      </c>
      <c r="CN33" s="384">
        <v>78</v>
      </c>
      <c r="CO33" s="384">
        <v>78</v>
      </c>
      <c r="CP33" s="384">
        <v>81</v>
      </c>
      <c r="CQ33" s="384">
        <v>81</v>
      </c>
      <c r="CR33" s="384">
        <v>83</v>
      </c>
      <c r="CS33" s="384">
        <v>83</v>
      </c>
      <c r="CT33" s="384">
        <v>85</v>
      </c>
      <c r="CU33" s="384">
        <v>87</v>
      </c>
      <c r="CV33" s="384">
        <v>90</v>
      </c>
      <c r="CW33" s="384">
        <v>94</v>
      </c>
      <c r="CX33" s="384">
        <v>94</v>
      </c>
      <c r="CY33" s="384">
        <v>100</v>
      </c>
      <c r="CZ33" s="384">
        <v>100</v>
      </c>
      <c r="DA33" s="384">
        <v>100</v>
      </c>
      <c r="DB33" s="384">
        <v>103</v>
      </c>
      <c r="DC33" s="384">
        <v>106</v>
      </c>
      <c r="DD33" s="384">
        <v>112</v>
      </c>
      <c r="DE33" s="384">
        <v>114</v>
      </c>
      <c r="DF33" s="384">
        <v>117</v>
      </c>
      <c r="DI33" s="380">
        <v>24</v>
      </c>
      <c r="DJ33" s="384">
        <v>78</v>
      </c>
      <c r="DK33" s="384">
        <v>78</v>
      </c>
      <c r="DL33" s="384">
        <v>81</v>
      </c>
      <c r="DM33" s="384">
        <v>81</v>
      </c>
      <c r="DN33" s="384">
        <v>83</v>
      </c>
      <c r="DO33" s="384">
        <v>83</v>
      </c>
      <c r="DP33" s="384">
        <v>83</v>
      </c>
      <c r="DQ33" s="384">
        <v>85</v>
      </c>
      <c r="DR33" s="384">
        <v>85</v>
      </c>
      <c r="DS33" s="384">
        <v>87</v>
      </c>
      <c r="DT33" s="384">
        <v>87</v>
      </c>
      <c r="DU33" s="384">
        <v>90</v>
      </c>
      <c r="DV33" s="384">
        <v>97</v>
      </c>
      <c r="DW33" s="384">
        <v>100</v>
      </c>
      <c r="DX33" s="384">
        <v>100</v>
      </c>
      <c r="DY33" s="384">
        <v>103</v>
      </c>
      <c r="DZ33" s="384">
        <v>103</v>
      </c>
      <c r="EA33" s="384">
        <v>106</v>
      </c>
      <c r="EB33" s="384">
        <v>109</v>
      </c>
      <c r="EC33" s="384">
        <v>112</v>
      </c>
      <c r="ED33" s="384">
        <v>112</v>
      </c>
      <c r="EE33" s="384">
        <v>114</v>
      </c>
      <c r="EF33" s="384">
        <v>117</v>
      </c>
      <c r="EG33" s="384">
        <v>120</v>
      </c>
      <c r="EH33" s="384">
        <v>123</v>
      </c>
    </row>
    <row r="34" spans="1:138" x14ac:dyDescent="0.15">
      <c r="A34" s="380">
        <v>25</v>
      </c>
      <c r="B34" s="385">
        <v>69</v>
      </c>
      <c r="C34" s="384">
        <v>69</v>
      </c>
      <c r="D34" s="384">
        <v>69</v>
      </c>
      <c r="E34" s="384">
        <v>69</v>
      </c>
      <c r="F34" s="384">
        <v>69</v>
      </c>
      <c r="G34" s="384">
        <v>69</v>
      </c>
      <c r="H34" s="384">
        <v>73</v>
      </c>
      <c r="I34" s="384">
        <v>73</v>
      </c>
      <c r="J34" s="384">
        <v>76</v>
      </c>
      <c r="K34" s="384">
        <v>76</v>
      </c>
      <c r="L34" s="384">
        <v>78</v>
      </c>
      <c r="M34" s="384">
        <v>78</v>
      </c>
      <c r="N34" s="384">
        <v>81</v>
      </c>
      <c r="O34" s="384">
        <v>83</v>
      </c>
      <c r="P34" s="384">
        <v>83</v>
      </c>
      <c r="Q34" s="384">
        <v>87</v>
      </c>
      <c r="R34" s="384">
        <v>90</v>
      </c>
      <c r="S34" s="384">
        <v>97</v>
      </c>
      <c r="T34" s="384">
        <v>97</v>
      </c>
      <c r="U34" s="384">
        <v>97</v>
      </c>
      <c r="V34" s="384">
        <v>97</v>
      </c>
      <c r="W34" s="384">
        <v>97</v>
      </c>
      <c r="X34" s="384">
        <v>103</v>
      </c>
      <c r="Y34" s="384">
        <v>109</v>
      </c>
      <c r="Z34" s="384">
        <v>114</v>
      </c>
      <c r="AC34" s="380">
        <v>25</v>
      </c>
      <c r="AD34" s="384">
        <v>69</v>
      </c>
      <c r="AE34" s="384">
        <v>69</v>
      </c>
      <c r="AF34" s="384">
        <v>69</v>
      </c>
      <c r="AG34" s="384">
        <v>69</v>
      </c>
      <c r="AH34" s="384">
        <v>69</v>
      </c>
      <c r="AI34" s="384">
        <v>73</v>
      </c>
      <c r="AJ34" s="384">
        <v>73</v>
      </c>
      <c r="AK34" s="384">
        <v>73</v>
      </c>
      <c r="AL34" s="384">
        <v>76</v>
      </c>
      <c r="AM34" s="384">
        <v>76</v>
      </c>
      <c r="AN34" s="384">
        <v>78</v>
      </c>
      <c r="AO34" s="384">
        <v>78</v>
      </c>
      <c r="AP34" s="384">
        <v>81</v>
      </c>
      <c r="AQ34" s="384">
        <v>83</v>
      </c>
      <c r="AR34" s="384">
        <v>83</v>
      </c>
      <c r="AS34" s="384">
        <v>87</v>
      </c>
      <c r="AT34" s="384">
        <v>90</v>
      </c>
      <c r="AU34" s="384">
        <v>97</v>
      </c>
      <c r="AV34" s="384">
        <v>97</v>
      </c>
      <c r="AW34" s="384">
        <v>97</v>
      </c>
      <c r="AX34" s="384">
        <v>97</v>
      </c>
      <c r="AY34" s="384">
        <v>97</v>
      </c>
      <c r="AZ34" s="384">
        <v>103</v>
      </c>
      <c r="BA34" s="384">
        <v>109</v>
      </c>
      <c r="BB34" s="384">
        <v>114</v>
      </c>
      <c r="BE34" s="380">
        <v>25</v>
      </c>
      <c r="BF34" s="384">
        <v>69</v>
      </c>
      <c r="BG34" s="384">
        <v>69</v>
      </c>
      <c r="BH34" s="384">
        <v>69</v>
      </c>
      <c r="BI34" s="384">
        <v>69</v>
      </c>
      <c r="BJ34" s="384">
        <v>69</v>
      </c>
      <c r="BK34" s="384">
        <v>73</v>
      </c>
      <c r="BL34" s="384">
        <v>73</v>
      </c>
      <c r="BM34" s="384">
        <v>73</v>
      </c>
      <c r="BN34" s="384">
        <v>76</v>
      </c>
      <c r="BO34" s="384">
        <v>76</v>
      </c>
      <c r="BP34" s="384">
        <v>78</v>
      </c>
      <c r="BQ34" s="384">
        <v>78</v>
      </c>
      <c r="BR34" s="384">
        <v>81</v>
      </c>
      <c r="BS34" s="384">
        <v>83</v>
      </c>
      <c r="BT34" s="384">
        <v>83</v>
      </c>
      <c r="BU34" s="384">
        <v>87</v>
      </c>
      <c r="BV34" s="384">
        <v>90</v>
      </c>
      <c r="BW34" s="384">
        <v>97</v>
      </c>
      <c r="BX34" s="384">
        <v>97</v>
      </c>
      <c r="BY34" s="384">
        <v>97</v>
      </c>
      <c r="BZ34" s="384">
        <v>97</v>
      </c>
      <c r="CA34" s="384">
        <v>97</v>
      </c>
      <c r="CB34" s="384">
        <v>103</v>
      </c>
      <c r="CC34" s="384">
        <v>109</v>
      </c>
      <c r="CD34" s="384">
        <v>114</v>
      </c>
      <c r="CG34" s="380">
        <v>25</v>
      </c>
      <c r="CH34" s="384">
        <v>73</v>
      </c>
      <c r="CI34" s="384">
        <v>73</v>
      </c>
      <c r="CJ34" s="384">
        <v>73</v>
      </c>
      <c r="CK34" s="384">
        <v>73</v>
      </c>
      <c r="CL34" s="384">
        <v>76</v>
      </c>
      <c r="CM34" s="384">
        <v>78</v>
      </c>
      <c r="CN34" s="384">
        <v>78</v>
      </c>
      <c r="CO34" s="384">
        <v>78</v>
      </c>
      <c r="CP34" s="384">
        <v>81</v>
      </c>
      <c r="CQ34" s="384">
        <v>81</v>
      </c>
      <c r="CR34" s="384">
        <v>83</v>
      </c>
      <c r="CS34" s="384">
        <v>83</v>
      </c>
      <c r="CT34" s="384">
        <v>85</v>
      </c>
      <c r="CU34" s="384">
        <v>87</v>
      </c>
      <c r="CV34" s="384">
        <v>90</v>
      </c>
      <c r="CW34" s="384">
        <v>94</v>
      </c>
      <c r="CX34" s="384">
        <v>94</v>
      </c>
      <c r="CY34" s="384">
        <v>100</v>
      </c>
      <c r="CZ34" s="384">
        <v>100</v>
      </c>
      <c r="DA34" s="384">
        <v>100</v>
      </c>
      <c r="DB34" s="384">
        <v>103</v>
      </c>
      <c r="DC34" s="384">
        <v>106</v>
      </c>
      <c r="DD34" s="384">
        <v>112</v>
      </c>
      <c r="DE34" s="384">
        <v>114</v>
      </c>
      <c r="DF34" s="384">
        <v>117</v>
      </c>
      <c r="DI34" s="380">
        <v>25</v>
      </c>
      <c r="DJ34" s="384">
        <v>78</v>
      </c>
      <c r="DK34" s="384">
        <v>78</v>
      </c>
      <c r="DL34" s="384">
        <v>81</v>
      </c>
      <c r="DM34" s="384">
        <v>81</v>
      </c>
      <c r="DN34" s="384">
        <v>83</v>
      </c>
      <c r="DO34" s="384">
        <v>83</v>
      </c>
      <c r="DP34" s="384">
        <v>83</v>
      </c>
      <c r="DQ34" s="384">
        <v>85</v>
      </c>
      <c r="DR34" s="384">
        <v>85</v>
      </c>
      <c r="DS34" s="384">
        <v>87</v>
      </c>
      <c r="DT34" s="384">
        <v>87</v>
      </c>
      <c r="DU34" s="384">
        <v>90</v>
      </c>
      <c r="DV34" s="384">
        <v>97</v>
      </c>
      <c r="DW34" s="384">
        <v>100</v>
      </c>
      <c r="DX34" s="384">
        <v>100</v>
      </c>
      <c r="DY34" s="384">
        <v>103</v>
      </c>
      <c r="DZ34" s="384">
        <v>103</v>
      </c>
      <c r="EA34" s="384">
        <v>106</v>
      </c>
      <c r="EB34" s="384">
        <v>109</v>
      </c>
      <c r="EC34" s="384">
        <v>112</v>
      </c>
      <c r="ED34" s="384">
        <v>112</v>
      </c>
      <c r="EE34" s="384">
        <v>114</v>
      </c>
      <c r="EF34" s="384">
        <v>117</v>
      </c>
      <c r="EG34" s="384">
        <v>120</v>
      </c>
      <c r="EH34" s="384">
        <v>123</v>
      </c>
    </row>
    <row r="35" spans="1:138" x14ac:dyDescent="0.15">
      <c r="A35" s="380">
        <v>26</v>
      </c>
      <c r="B35" s="385">
        <v>73</v>
      </c>
      <c r="C35" s="384">
        <v>73</v>
      </c>
      <c r="D35" s="384">
        <v>73</v>
      </c>
      <c r="E35" s="384">
        <v>73</v>
      </c>
      <c r="F35" s="384">
        <v>73</v>
      </c>
      <c r="G35" s="384">
        <v>73</v>
      </c>
      <c r="H35" s="384">
        <v>76</v>
      </c>
      <c r="I35" s="384">
        <v>76</v>
      </c>
      <c r="J35" s="384">
        <v>78</v>
      </c>
      <c r="K35" s="384">
        <v>78</v>
      </c>
      <c r="L35" s="384">
        <v>81</v>
      </c>
      <c r="M35" s="384">
        <v>81</v>
      </c>
      <c r="N35" s="384">
        <v>83</v>
      </c>
      <c r="O35" s="384">
        <v>85</v>
      </c>
      <c r="P35" s="384">
        <v>85</v>
      </c>
      <c r="Q35" s="384">
        <v>90</v>
      </c>
      <c r="R35" s="384">
        <v>94</v>
      </c>
      <c r="S35" s="384">
        <v>100</v>
      </c>
      <c r="T35" s="384">
        <v>100</v>
      </c>
      <c r="U35" s="384">
        <v>100</v>
      </c>
      <c r="V35" s="384">
        <v>100</v>
      </c>
      <c r="W35" s="384">
        <v>100</v>
      </c>
      <c r="X35" s="384">
        <v>106</v>
      </c>
      <c r="Y35" s="384">
        <v>112</v>
      </c>
      <c r="Z35" s="384">
        <v>117</v>
      </c>
      <c r="AC35" s="380">
        <v>26</v>
      </c>
      <c r="AD35" s="384">
        <v>73</v>
      </c>
      <c r="AE35" s="384">
        <v>73</v>
      </c>
      <c r="AF35" s="384">
        <v>73</v>
      </c>
      <c r="AG35" s="384">
        <v>73</v>
      </c>
      <c r="AH35" s="384">
        <v>73</v>
      </c>
      <c r="AI35" s="384">
        <v>76</v>
      </c>
      <c r="AJ35" s="384">
        <v>76</v>
      </c>
      <c r="AK35" s="384">
        <v>76</v>
      </c>
      <c r="AL35" s="384">
        <v>78</v>
      </c>
      <c r="AM35" s="384">
        <v>78</v>
      </c>
      <c r="AN35" s="384">
        <v>81</v>
      </c>
      <c r="AO35" s="384">
        <v>81</v>
      </c>
      <c r="AP35" s="384">
        <v>83</v>
      </c>
      <c r="AQ35" s="384">
        <v>85</v>
      </c>
      <c r="AR35" s="384">
        <v>85</v>
      </c>
      <c r="AS35" s="384">
        <v>90</v>
      </c>
      <c r="AT35" s="384">
        <v>94</v>
      </c>
      <c r="AU35" s="384">
        <v>100</v>
      </c>
      <c r="AV35" s="384">
        <v>100</v>
      </c>
      <c r="AW35" s="384">
        <v>100</v>
      </c>
      <c r="AX35" s="384">
        <v>100</v>
      </c>
      <c r="AY35" s="384">
        <v>100</v>
      </c>
      <c r="AZ35" s="384">
        <v>106</v>
      </c>
      <c r="BA35" s="384">
        <v>112</v>
      </c>
      <c r="BB35" s="384">
        <v>117</v>
      </c>
      <c r="BE35" s="380">
        <v>26</v>
      </c>
      <c r="BF35" s="384">
        <v>73</v>
      </c>
      <c r="BG35" s="384">
        <v>73</v>
      </c>
      <c r="BH35" s="384">
        <v>73</v>
      </c>
      <c r="BI35" s="384">
        <v>73</v>
      </c>
      <c r="BJ35" s="384">
        <v>73</v>
      </c>
      <c r="BK35" s="384">
        <v>76</v>
      </c>
      <c r="BL35" s="384">
        <v>76</v>
      </c>
      <c r="BM35" s="384">
        <v>76</v>
      </c>
      <c r="BN35" s="384">
        <v>78</v>
      </c>
      <c r="BO35" s="384">
        <v>78</v>
      </c>
      <c r="BP35" s="384">
        <v>81</v>
      </c>
      <c r="BQ35" s="384">
        <v>81</v>
      </c>
      <c r="BR35" s="384">
        <v>83</v>
      </c>
      <c r="BS35" s="384">
        <v>85</v>
      </c>
      <c r="BT35" s="384">
        <v>85</v>
      </c>
      <c r="BU35" s="384">
        <v>90</v>
      </c>
      <c r="BV35" s="384">
        <v>94</v>
      </c>
      <c r="BW35" s="384">
        <v>100</v>
      </c>
      <c r="BX35" s="384">
        <v>100</v>
      </c>
      <c r="BY35" s="384">
        <v>100</v>
      </c>
      <c r="BZ35" s="384">
        <v>100</v>
      </c>
      <c r="CA35" s="384">
        <v>100</v>
      </c>
      <c r="CB35" s="384">
        <v>106</v>
      </c>
      <c r="CC35" s="384">
        <v>112</v>
      </c>
      <c r="CD35" s="384">
        <v>117</v>
      </c>
      <c r="CG35" s="380">
        <v>26</v>
      </c>
      <c r="CH35" s="384">
        <v>76</v>
      </c>
      <c r="CI35" s="384">
        <v>76</v>
      </c>
      <c r="CJ35" s="384">
        <v>76</v>
      </c>
      <c r="CK35" s="384">
        <v>76</v>
      </c>
      <c r="CL35" s="384">
        <v>78</v>
      </c>
      <c r="CM35" s="384">
        <v>81</v>
      </c>
      <c r="CN35" s="384">
        <v>81</v>
      </c>
      <c r="CO35" s="384">
        <v>81</v>
      </c>
      <c r="CP35" s="384">
        <v>83</v>
      </c>
      <c r="CQ35" s="384">
        <v>83</v>
      </c>
      <c r="CR35" s="384">
        <v>85</v>
      </c>
      <c r="CS35" s="384">
        <v>85</v>
      </c>
      <c r="CT35" s="384">
        <v>87</v>
      </c>
      <c r="CU35" s="384">
        <v>90</v>
      </c>
      <c r="CV35" s="384">
        <v>94</v>
      </c>
      <c r="CW35" s="384">
        <v>97</v>
      </c>
      <c r="CX35" s="384">
        <v>97</v>
      </c>
      <c r="CY35" s="384">
        <v>103</v>
      </c>
      <c r="CZ35" s="384">
        <v>103</v>
      </c>
      <c r="DA35" s="384">
        <v>103</v>
      </c>
      <c r="DB35" s="384">
        <v>106</v>
      </c>
      <c r="DC35" s="384">
        <v>109</v>
      </c>
      <c r="DD35" s="384">
        <v>114</v>
      </c>
      <c r="DE35" s="384">
        <v>117</v>
      </c>
      <c r="DF35" s="384">
        <v>120</v>
      </c>
      <c r="DI35" s="380">
        <v>26</v>
      </c>
      <c r="DJ35" s="384">
        <v>81</v>
      </c>
      <c r="DK35" s="384">
        <v>81</v>
      </c>
      <c r="DL35" s="384">
        <v>83</v>
      </c>
      <c r="DM35" s="384">
        <v>83</v>
      </c>
      <c r="DN35" s="384">
        <v>85</v>
      </c>
      <c r="DO35" s="384">
        <v>85</v>
      </c>
      <c r="DP35" s="384">
        <v>85</v>
      </c>
      <c r="DQ35" s="384">
        <v>87</v>
      </c>
      <c r="DR35" s="384">
        <v>87</v>
      </c>
      <c r="DS35" s="384">
        <v>90</v>
      </c>
      <c r="DT35" s="384">
        <v>90</v>
      </c>
      <c r="DU35" s="384">
        <v>94</v>
      </c>
      <c r="DV35" s="384">
        <v>100</v>
      </c>
      <c r="DW35" s="384">
        <v>103</v>
      </c>
      <c r="DX35" s="384">
        <v>103</v>
      </c>
      <c r="DY35" s="384">
        <v>106</v>
      </c>
      <c r="DZ35" s="384">
        <v>106</v>
      </c>
      <c r="EA35" s="384">
        <v>109</v>
      </c>
      <c r="EB35" s="384">
        <v>112</v>
      </c>
      <c r="EC35" s="384">
        <v>114</v>
      </c>
      <c r="ED35" s="384">
        <v>114</v>
      </c>
      <c r="EE35" s="384">
        <v>117</v>
      </c>
      <c r="EF35" s="384">
        <v>120</v>
      </c>
      <c r="EG35" s="384">
        <v>123</v>
      </c>
      <c r="EH35" s="384">
        <v>126</v>
      </c>
    </row>
    <row r="36" spans="1:138" x14ac:dyDescent="0.15">
      <c r="A36" s="380">
        <v>27</v>
      </c>
      <c r="B36" s="385">
        <v>76</v>
      </c>
      <c r="C36" s="384">
        <v>76</v>
      </c>
      <c r="D36" s="384">
        <v>76</v>
      </c>
      <c r="E36" s="384">
        <v>76</v>
      </c>
      <c r="F36" s="384">
        <v>76</v>
      </c>
      <c r="G36" s="384">
        <v>76</v>
      </c>
      <c r="H36" s="384">
        <v>78</v>
      </c>
      <c r="I36" s="384">
        <v>78</v>
      </c>
      <c r="J36" s="384">
        <v>81</v>
      </c>
      <c r="K36" s="384">
        <v>81</v>
      </c>
      <c r="L36" s="384">
        <v>83</v>
      </c>
      <c r="M36" s="384">
        <v>83</v>
      </c>
      <c r="N36" s="384">
        <v>85</v>
      </c>
      <c r="O36" s="384">
        <v>87</v>
      </c>
      <c r="P36" s="384">
        <v>87</v>
      </c>
      <c r="Q36" s="384">
        <v>94</v>
      </c>
      <c r="R36" s="384">
        <v>97</v>
      </c>
      <c r="S36" s="384">
        <v>103</v>
      </c>
      <c r="T36" s="384">
        <v>103</v>
      </c>
      <c r="U36" s="384">
        <v>103</v>
      </c>
      <c r="V36" s="384">
        <v>103</v>
      </c>
      <c r="W36" s="384">
        <v>103</v>
      </c>
      <c r="X36" s="384">
        <v>109</v>
      </c>
      <c r="Y36" s="384">
        <v>114</v>
      </c>
      <c r="Z36" s="384">
        <v>120</v>
      </c>
      <c r="AC36" s="380">
        <v>27</v>
      </c>
      <c r="AD36" s="384">
        <v>76</v>
      </c>
      <c r="AE36" s="384">
        <v>76</v>
      </c>
      <c r="AF36" s="384">
        <v>76</v>
      </c>
      <c r="AG36" s="384">
        <v>76</v>
      </c>
      <c r="AH36" s="384">
        <v>76</v>
      </c>
      <c r="AI36" s="384">
        <v>78</v>
      </c>
      <c r="AJ36" s="384">
        <v>78</v>
      </c>
      <c r="AK36" s="384">
        <v>78</v>
      </c>
      <c r="AL36" s="384">
        <v>81</v>
      </c>
      <c r="AM36" s="384">
        <v>81</v>
      </c>
      <c r="AN36" s="384">
        <v>83</v>
      </c>
      <c r="AO36" s="384">
        <v>83</v>
      </c>
      <c r="AP36" s="384">
        <v>85</v>
      </c>
      <c r="AQ36" s="384">
        <v>87</v>
      </c>
      <c r="AR36" s="384">
        <v>87</v>
      </c>
      <c r="AS36" s="384">
        <v>94</v>
      </c>
      <c r="AT36" s="384">
        <v>97</v>
      </c>
      <c r="AU36" s="384">
        <v>103</v>
      </c>
      <c r="AV36" s="384">
        <v>103</v>
      </c>
      <c r="AW36" s="384">
        <v>103</v>
      </c>
      <c r="AX36" s="384">
        <v>103</v>
      </c>
      <c r="AY36" s="384">
        <v>103</v>
      </c>
      <c r="AZ36" s="384">
        <v>109</v>
      </c>
      <c r="BA36" s="384">
        <v>114</v>
      </c>
      <c r="BB36" s="384">
        <v>120</v>
      </c>
      <c r="BE36" s="380">
        <v>27</v>
      </c>
      <c r="BF36" s="384">
        <v>76</v>
      </c>
      <c r="BG36" s="384">
        <v>76</v>
      </c>
      <c r="BH36" s="384">
        <v>76</v>
      </c>
      <c r="BI36" s="384">
        <v>76</v>
      </c>
      <c r="BJ36" s="384">
        <v>76</v>
      </c>
      <c r="BK36" s="384">
        <v>78</v>
      </c>
      <c r="BL36" s="384">
        <v>78</v>
      </c>
      <c r="BM36" s="384">
        <v>78</v>
      </c>
      <c r="BN36" s="384">
        <v>81</v>
      </c>
      <c r="BO36" s="384">
        <v>81</v>
      </c>
      <c r="BP36" s="384">
        <v>83</v>
      </c>
      <c r="BQ36" s="384">
        <v>83</v>
      </c>
      <c r="BR36" s="384">
        <v>85</v>
      </c>
      <c r="BS36" s="384">
        <v>87</v>
      </c>
      <c r="BT36" s="384">
        <v>87</v>
      </c>
      <c r="BU36" s="384">
        <v>94</v>
      </c>
      <c r="BV36" s="384">
        <v>97</v>
      </c>
      <c r="BW36" s="384">
        <v>103</v>
      </c>
      <c r="BX36" s="384">
        <v>103</v>
      </c>
      <c r="BY36" s="384">
        <v>103</v>
      </c>
      <c r="BZ36" s="384">
        <v>103</v>
      </c>
      <c r="CA36" s="384">
        <v>103</v>
      </c>
      <c r="CB36" s="384">
        <v>109</v>
      </c>
      <c r="CC36" s="384">
        <v>114</v>
      </c>
      <c r="CD36" s="384">
        <v>120</v>
      </c>
      <c r="CG36" s="380">
        <v>27</v>
      </c>
      <c r="CH36" s="384">
        <v>78</v>
      </c>
      <c r="CI36" s="384">
        <v>78</v>
      </c>
      <c r="CJ36" s="384">
        <v>78</v>
      </c>
      <c r="CK36" s="384">
        <v>78</v>
      </c>
      <c r="CL36" s="384">
        <v>81</v>
      </c>
      <c r="CM36" s="384">
        <v>83</v>
      </c>
      <c r="CN36" s="384">
        <v>83</v>
      </c>
      <c r="CO36" s="384">
        <v>83</v>
      </c>
      <c r="CP36" s="384">
        <v>85</v>
      </c>
      <c r="CQ36" s="384">
        <v>85</v>
      </c>
      <c r="CR36" s="384">
        <v>87</v>
      </c>
      <c r="CS36" s="384">
        <v>87</v>
      </c>
      <c r="CT36" s="384">
        <v>90</v>
      </c>
      <c r="CU36" s="384">
        <v>94</v>
      </c>
      <c r="CV36" s="384">
        <v>97</v>
      </c>
      <c r="CW36" s="384">
        <v>100</v>
      </c>
      <c r="CX36" s="384">
        <v>100</v>
      </c>
      <c r="CY36" s="384">
        <v>106</v>
      </c>
      <c r="CZ36" s="384">
        <v>106</v>
      </c>
      <c r="DA36" s="384">
        <v>106</v>
      </c>
      <c r="DB36" s="384">
        <v>109</v>
      </c>
      <c r="DC36" s="384">
        <v>112</v>
      </c>
      <c r="DD36" s="384">
        <v>117</v>
      </c>
      <c r="DE36" s="384">
        <v>120</v>
      </c>
      <c r="DF36" s="384">
        <v>123</v>
      </c>
      <c r="DI36" s="380">
        <v>27</v>
      </c>
      <c r="DJ36" s="384">
        <v>83</v>
      </c>
      <c r="DK36" s="384">
        <v>83</v>
      </c>
      <c r="DL36" s="384">
        <v>85</v>
      </c>
      <c r="DM36" s="384">
        <v>85</v>
      </c>
      <c r="DN36" s="384">
        <v>87</v>
      </c>
      <c r="DO36" s="384">
        <v>87</v>
      </c>
      <c r="DP36" s="384">
        <v>87</v>
      </c>
      <c r="DQ36" s="384">
        <v>90</v>
      </c>
      <c r="DR36" s="384">
        <v>90</v>
      </c>
      <c r="DS36" s="384">
        <v>94</v>
      </c>
      <c r="DT36" s="384">
        <v>94</v>
      </c>
      <c r="DU36" s="384">
        <v>97</v>
      </c>
      <c r="DV36" s="384">
        <v>103</v>
      </c>
      <c r="DW36" s="384">
        <v>106</v>
      </c>
      <c r="DX36" s="384">
        <v>106</v>
      </c>
      <c r="DY36" s="384">
        <v>109</v>
      </c>
      <c r="DZ36" s="384">
        <v>109</v>
      </c>
      <c r="EA36" s="384">
        <v>112</v>
      </c>
      <c r="EB36" s="384">
        <v>114</v>
      </c>
      <c r="EC36" s="384">
        <v>117</v>
      </c>
      <c r="ED36" s="384">
        <v>117</v>
      </c>
      <c r="EE36" s="384">
        <v>120</v>
      </c>
      <c r="EF36" s="384">
        <v>123</v>
      </c>
      <c r="EG36" s="384">
        <v>126</v>
      </c>
      <c r="EH36" s="384">
        <v>129</v>
      </c>
    </row>
    <row r="37" spans="1:138" x14ac:dyDescent="0.15">
      <c r="A37" s="380">
        <v>28</v>
      </c>
      <c r="B37" s="385">
        <v>76</v>
      </c>
      <c r="C37" s="384">
        <v>76</v>
      </c>
      <c r="D37" s="384">
        <v>76</v>
      </c>
      <c r="E37" s="384">
        <v>76</v>
      </c>
      <c r="F37" s="384">
        <v>76</v>
      </c>
      <c r="G37" s="384">
        <v>76</v>
      </c>
      <c r="H37" s="384">
        <v>78</v>
      </c>
      <c r="I37" s="384">
        <v>78</v>
      </c>
      <c r="J37" s="384">
        <v>81</v>
      </c>
      <c r="K37" s="384">
        <v>81</v>
      </c>
      <c r="L37" s="384">
        <v>83</v>
      </c>
      <c r="M37" s="384">
        <v>83</v>
      </c>
      <c r="N37" s="384">
        <v>85</v>
      </c>
      <c r="O37" s="384">
        <v>87</v>
      </c>
      <c r="P37" s="384">
        <v>87</v>
      </c>
      <c r="Q37" s="384">
        <v>94</v>
      </c>
      <c r="R37" s="384">
        <v>97</v>
      </c>
      <c r="S37" s="384">
        <v>103</v>
      </c>
      <c r="T37" s="384">
        <v>103</v>
      </c>
      <c r="U37" s="384">
        <v>103</v>
      </c>
      <c r="V37" s="384">
        <v>103</v>
      </c>
      <c r="W37" s="384">
        <v>103</v>
      </c>
      <c r="X37" s="384">
        <v>109</v>
      </c>
      <c r="Y37" s="384">
        <v>114</v>
      </c>
      <c r="Z37" s="384">
        <v>120</v>
      </c>
      <c r="AC37" s="380">
        <v>28</v>
      </c>
      <c r="AD37" s="384">
        <v>76</v>
      </c>
      <c r="AE37" s="384">
        <v>76</v>
      </c>
      <c r="AF37" s="384">
        <v>76</v>
      </c>
      <c r="AG37" s="384">
        <v>76</v>
      </c>
      <c r="AH37" s="384">
        <v>76</v>
      </c>
      <c r="AI37" s="384">
        <v>78</v>
      </c>
      <c r="AJ37" s="384">
        <v>78</v>
      </c>
      <c r="AK37" s="384">
        <v>78</v>
      </c>
      <c r="AL37" s="384">
        <v>81</v>
      </c>
      <c r="AM37" s="384">
        <v>81</v>
      </c>
      <c r="AN37" s="384">
        <v>83</v>
      </c>
      <c r="AO37" s="384">
        <v>83</v>
      </c>
      <c r="AP37" s="384">
        <v>85</v>
      </c>
      <c r="AQ37" s="384">
        <v>87</v>
      </c>
      <c r="AR37" s="384">
        <v>87</v>
      </c>
      <c r="AS37" s="384">
        <v>94</v>
      </c>
      <c r="AT37" s="384">
        <v>97</v>
      </c>
      <c r="AU37" s="384">
        <v>103</v>
      </c>
      <c r="AV37" s="384">
        <v>103</v>
      </c>
      <c r="AW37" s="384">
        <v>103</v>
      </c>
      <c r="AX37" s="384">
        <v>103</v>
      </c>
      <c r="AY37" s="384">
        <v>103</v>
      </c>
      <c r="AZ37" s="384">
        <v>109</v>
      </c>
      <c r="BA37" s="384">
        <v>114</v>
      </c>
      <c r="BB37" s="384">
        <v>120</v>
      </c>
      <c r="BE37" s="380">
        <v>28</v>
      </c>
      <c r="BF37" s="384">
        <v>78</v>
      </c>
      <c r="BG37" s="384">
        <v>78</v>
      </c>
      <c r="BH37" s="384">
        <v>78</v>
      </c>
      <c r="BI37" s="384">
        <v>78</v>
      </c>
      <c r="BJ37" s="384">
        <v>78</v>
      </c>
      <c r="BK37" s="384">
        <v>81</v>
      </c>
      <c r="BL37" s="384">
        <v>81</v>
      </c>
      <c r="BM37" s="384">
        <v>81</v>
      </c>
      <c r="BN37" s="384">
        <v>83</v>
      </c>
      <c r="BO37" s="384">
        <v>83</v>
      </c>
      <c r="BP37" s="384">
        <v>85</v>
      </c>
      <c r="BQ37" s="384">
        <v>85</v>
      </c>
      <c r="BR37" s="384">
        <v>87</v>
      </c>
      <c r="BS37" s="384">
        <v>90</v>
      </c>
      <c r="BT37" s="384">
        <v>90</v>
      </c>
      <c r="BU37" s="384">
        <v>97</v>
      </c>
      <c r="BV37" s="384">
        <v>100</v>
      </c>
      <c r="BW37" s="384">
        <v>106</v>
      </c>
      <c r="BX37" s="384">
        <v>106</v>
      </c>
      <c r="BY37" s="384">
        <v>106</v>
      </c>
      <c r="BZ37" s="384">
        <v>106</v>
      </c>
      <c r="CA37" s="384">
        <v>106</v>
      </c>
      <c r="CB37" s="384">
        <v>112</v>
      </c>
      <c r="CC37" s="384">
        <v>117</v>
      </c>
      <c r="CD37" s="384">
        <v>123</v>
      </c>
      <c r="CG37" s="380">
        <v>28</v>
      </c>
      <c r="CH37" s="384">
        <v>78</v>
      </c>
      <c r="CI37" s="384">
        <v>78</v>
      </c>
      <c r="CJ37" s="384">
        <v>78</v>
      </c>
      <c r="CK37" s="384">
        <v>78</v>
      </c>
      <c r="CL37" s="384">
        <v>81</v>
      </c>
      <c r="CM37" s="384">
        <v>83</v>
      </c>
      <c r="CN37" s="384">
        <v>83</v>
      </c>
      <c r="CO37" s="384">
        <v>83</v>
      </c>
      <c r="CP37" s="384">
        <v>85</v>
      </c>
      <c r="CQ37" s="384">
        <v>85</v>
      </c>
      <c r="CR37" s="384">
        <v>87</v>
      </c>
      <c r="CS37" s="384">
        <v>87</v>
      </c>
      <c r="CT37" s="384">
        <v>90</v>
      </c>
      <c r="CU37" s="384">
        <v>94</v>
      </c>
      <c r="CV37" s="384">
        <v>97</v>
      </c>
      <c r="CW37" s="384">
        <v>100</v>
      </c>
      <c r="CX37" s="384">
        <v>100</v>
      </c>
      <c r="CY37" s="384">
        <v>106</v>
      </c>
      <c r="CZ37" s="384">
        <v>106</v>
      </c>
      <c r="DA37" s="384">
        <v>106</v>
      </c>
      <c r="DB37" s="384">
        <v>109</v>
      </c>
      <c r="DC37" s="384">
        <v>112</v>
      </c>
      <c r="DD37" s="384">
        <v>117</v>
      </c>
      <c r="DE37" s="384">
        <v>120</v>
      </c>
      <c r="DF37" s="384">
        <v>123</v>
      </c>
      <c r="DI37" s="380">
        <v>28</v>
      </c>
      <c r="DJ37" s="384">
        <v>83</v>
      </c>
      <c r="DK37" s="384">
        <v>83</v>
      </c>
      <c r="DL37" s="384">
        <v>85</v>
      </c>
      <c r="DM37" s="384">
        <v>85</v>
      </c>
      <c r="DN37" s="384">
        <v>87</v>
      </c>
      <c r="DO37" s="384">
        <v>87</v>
      </c>
      <c r="DP37" s="384">
        <v>87</v>
      </c>
      <c r="DQ37" s="384">
        <v>90</v>
      </c>
      <c r="DR37" s="384">
        <v>90</v>
      </c>
      <c r="DS37" s="384">
        <v>94</v>
      </c>
      <c r="DT37" s="384">
        <v>94</v>
      </c>
      <c r="DU37" s="384">
        <v>97</v>
      </c>
      <c r="DV37" s="384">
        <v>103</v>
      </c>
      <c r="DW37" s="384">
        <v>106</v>
      </c>
      <c r="DX37" s="384">
        <v>106</v>
      </c>
      <c r="DY37" s="384">
        <v>109</v>
      </c>
      <c r="DZ37" s="384">
        <v>109</v>
      </c>
      <c r="EA37" s="384">
        <v>112</v>
      </c>
      <c r="EB37" s="384">
        <v>114</v>
      </c>
      <c r="EC37" s="384">
        <v>117</v>
      </c>
      <c r="ED37" s="384">
        <v>117</v>
      </c>
      <c r="EE37" s="384">
        <v>120</v>
      </c>
      <c r="EF37" s="384">
        <v>123</v>
      </c>
      <c r="EG37" s="384">
        <v>126</v>
      </c>
      <c r="EH37" s="384">
        <v>129</v>
      </c>
    </row>
    <row r="38" spans="1:138" x14ac:dyDescent="0.15">
      <c r="A38" s="380">
        <v>29</v>
      </c>
      <c r="B38" s="385">
        <v>78</v>
      </c>
      <c r="C38" s="384">
        <v>78</v>
      </c>
      <c r="D38" s="384">
        <v>78</v>
      </c>
      <c r="E38" s="384">
        <v>78</v>
      </c>
      <c r="F38" s="384">
        <v>78</v>
      </c>
      <c r="G38" s="384">
        <v>78</v>
      </c>
      <c r="H38" s="384">
        <v>81</v>
      </c>
      <c r="I38" s="384">
        <v>81</v>
      </c>
      <c r="J38" s="384">
        <v>83</v>
      </c>
      <c r="K38" s="384">
        <v>83</v>
      </c>
      <c r="L38" s="384">
        <v>85</v>
      </c>
      <c r="M38" s="384">
        <v>85</v>
      </c>
      <c r="N38" s="384">
        <v>87</v>
      </c>
      <c r="O38" s="384">
        <v>90</v>
      </c>
      <c r="P38" s="384">
        <v>90</v>
      </c>
      <c r="Q38" s="384">
        <v>97</v>
      </c>
      <c r="R38" s="384">
        <v>100</v>
      </c>
      <c r="S38" s="384">
        <v>106</v>
      </c>
      <c r="T38" s="384">
        <v>106</v>
      </c>
      <c r="U38" s="384">
        <v>106</v>
      </c>
      <c r="V38" s="384">
        <v>106</v>
      </c>
      <c r="W38" s="384">
        <v>106</v>
      </c>
      <c r="X38" s="384">
        <v>112</v>
      </c>
      <c r="Y38" s="384">
        <v>117</v>
      </c>
      <c r="Z38" s="384">
        <v>123</v>
      </c>
      <c r="AC38" s="380">
        <v>29</v>
      </c>
      <c r="AD38" s="384">
        <v>78</v>
      </c>
      <c r="AE38" s="384">
        <v>78</v>
      </c>
      <c r="AF38" s="384">
        <v>78</v>
      </c>
      <c r="AG38" s="384">
        <v>78</v>
      </c>
      <c r="AH38" s="384">
        <v>78</v>
      </c>
      <c r="AI38" s="384">
        <v>81</v>
      </c>
      <c r="AJ38" s="384">
        <v>81</v>
      </c>
      <c r="AK38" s="384">
        <v>81</v>
      </c>
      <c r="AL38" s="384">
        <v>83</v>
      </c>
      <c r="AM38" s="384">
        <v>83</v>
      </c>
      <c r="AN38" s="384">
        <v>85</v>
      </c>
      <c r="AO38" s="384">
        <v>85</v>
      </c>
      <c r="AP38" s="384">
        <v>87</v>
      </c>
      <c r="AQ38" s="384">
        <v>90</v>
      </c>
      <c r="AR38" s="384">
        <v>90</v>
      </c>
      <c r="AS38" s="384">
        <v>97</v>
      </c>
      <c r="AT38" s="384">
        <v>100</v>
      </c>
      <c r="AU38" s="384">
        <v>106</v>
      </c>
      <c r="AV38" s="384">
        <v>106</v>
      </c>
      <c r="AW38" s="384">
        <v>106</v>
      </c>
      <c r="AX38" s="384">
        <v>106</v>
      </c>
      <c r="AY38" s="384">
        <v>106</v>
      </c>
      <c r="AZ38" s="384">
        <v>112</v>
      </c>
      <c r="BA38" s="384">
        <v>117</v>
      </c>
      <c r="BB38" s="384">
        <v>123</v>
      </c>
      <c r="BE38" s="380">
        <v>29</v>
      </c>
      <c r="BF38" s="384">
        <v>78</v>
      </c>
      <c r="BG38" s="384">
        <v>78</v>
      </c>
      <c r="BH38" s="384">
        <v>78</v>
      </c>
      <c r="BI38" s="384">
        <v>78</v>
      </c>
      <c r="BJ38" s="384">
        <v>78</v>
      </c>
      <c r="BK38" s="384">
        <v>81</v>
      </c>
      <c r="BL38" s="384">
        <v>81</v>
      </c>
      <c r="BM38" s="384">
        <v>81</v>
      </c>
      <c r="BN38" s="384">
        <v>83</v>
      </c>
      <c r="BO38" s="384">
        <v>83</v>
      </c>
      <c r="BP38" s="384">
        <v>85</v>
      </c>
      <c r="BQ38" s="384">
        <v>85</v>
      </c>
      <c r="BR38" s="384">
        <v>87</v>
      </c>
      <c r="BS38" s="384">
        <v>90</v>
      </c>
      <c r="BT38" s="384">
        <v>90</v>
      </c>
      <c r="BU38" s="384">
        <v>97</v>
      </c>
      <c r="BV38" s="384">
        <v>100</v>
      </c>
      <c r="BW38" s="384">
        <v>106</v>
      </c>
      <c r="BX38" s="384">
        <v>106</v>
      </c>
      <c r="BY38" s="384">
        <v>106</v>
      </c>
      <c r="BZ38" s="384">
        <v>106</v>
      </c>
      <c r="CA38" s="384">
        <v>106</v>
      </c>
      <c r="CB38" s="384">
        <v>112</v>
      </c>
      <c r="CC38" s="384">
        <v>117</v>
      </c>
      <c r="CD38" s="384">
        <v>123</v>
      </c>
      <c r="CG38" s="381">
        <v>29</v>
      </c>
      <c r="CH38" s="384">
        <v>81</v>
      </c>
      <c r="CI38" s="384">
        <v>81</v>
      </c>
      <c r="CJ38" s="384">
        <v>81</v>
      </c>
      <c r="CK38" s="384">
        <v>81</v>
      </c>
      <c r="CL38" s="384">
        <v>83</v>
      </c>
      <c r="CM38" s="384">
        <v>85</v>
      </c>
      <c r="CN38" s="384">
        <v>85</v>
      </c>
      <c r="CO38" s="384">
        <v>85</v>
      </c>
      <c r="CP38" s="384">
        <v>87</v>
      </c>
      <c r="CQ38" s="384">
        <v>87</v>
      </c>
      <c r="CR38" s="384">
        <v>90</v>
      </c>
      <c r="CS38" s="384">
        <v>90</v>
      </c>
      <c r="CT38" s="384">
        <v>94</v>
      </c>
      <c r="CU38" s="384">
        <v>97</v>
      </c>
      <c r="CV38" s="384">
        <v>100</v>
      </c>
      <c r="CW38" s="384">
        <v>103</v>
      </c>
      <c r="CX38" s="384">
        <v>103</v>
      </c>
      <c r="CY38" s="384">
        <v>109</v>
      </c>
      <c r="CZ38" s="384">
        <v>109</v>
      </c>
      <c r="DA38" s="384">
        <v>109</v>
      </c>
      <c r="DB38" s="384">
        <v>112</v>
      </c>
      <c r="DC38" s="384">
        <v>114</v>
      </c>
      <c r="DD38" s="384">
        <v>120</v>
      </c>
      <c r="DE38" s="384">
        <v>123</v>
      </c>
      <c r="DF38" s="384">
        <v>126</v>
      </c>
      <c r="DI38" s="380">
        <v>29</v>
      </c>
      <c r="DJ38" s="384">
        <v>85</v>
      </c>
      <c r="DK38" s="384">
        <v>85</v>
      </c>
      <c r="DL38" s="384">
        <v>87</v>
      </c>
      <c r="DM38" s="384">
        <v>87</v>
      </c>
      <c r="DN38" s="384">
        <v>90</v>
      </c>
      <c r="DO38" s="384">
        <v>90</v>
      </c>
      <c r="DP38" s="384">
        <v>90</v>
      </c>
      <c r="DQ38" s="384">
        <v>94</v>
      </c>
      <c r="DR38" s="384">
        <v>94</v>
      </c>
      <c r="DS38" s="384">
        <v>97</v>
      </c>
      <c r="DT38" s="384">
        <v>97</v>
      </c>
      <c r="DU38" s="384">
        <v>100</v>
      </c>
      <c r="DV38" s="384">
        <v>106</v>
      </c>
      <c r="DW38" s="384">
        <v>109</v>
      </c>
      <c r="DX38" s="384">
        <v>109</v>
      </c>
      <c r="DY38" s="384">
        <v>112</v>
      </c>
      <c r="DZ38" s="384">
        <v>112</v>
      </c>
      <c r="EA38" s="384">
        <v>114</v>
      </c>
      <c r="EB38" s="384">
        <v>117</v>
      </c>
      <c r="EC38" s="384">
        <v>120</v>
      </c>
      <c r="ED38" s="384">
        <v>120</v>
      </c>
      <c r="EE38" s="384">
        <v>123</v>
      </c>
      <c r="EF38" s="384">
        <v>126</v>
      </c>
      <c r="EG38" s="384">
        <v>129</v>
      </c>
      <c r="EH38" s="384">
        <v>132</v>
      </c>
    </row>
    <row r="39" spans="1:138" x14ac:dyDescent="0.15">
      <c r="A39" s="380">
        <v>30</v>
      </c>
      <c r="B39" s="385">
        <v>81</v>
      </c>
      <c r="C39" s="384">
        <v>81</v>
      </c>
      <c r="D39" s="384">
        <v>81</v>
      </c>
      <c r="E39" s="384">
        <v>81</v>
      </c>
      <c r="F39" s="384">
        <v>81</v>
      </c>
      <c r="G39" s="384">
        <v>81</v>
      </c>
      <c r="H39" s="384">
        <v>83</v>
      </c>
      <c r="I39" s="384">
        <v>83</v>
      </c>
      <c r="J39" s="384">
        <v>85</v>
      </c>
      <c r="K39" s="384">
        <v>85</v>
      </c>
      <c r="L39" s="384">
        <v>87</v>
      </c>
      <c r="M39" s="384">
        <v>87</v>
      </c>
      <c r="N39" s="384">
        <v>90</v>
      </c>
      <c r="O39" s="384">
        <v>94</v>
      </c>
      <c r="P39" s="384">
        <v>94</v>
      </c>
      <c r="Q39" s="384">
        <v>100</v>
      </c>
      <c r="R39" s="384">
        <v>103</v>
      </c>
      <c r="S39" s="384">
        <v>109</v>
      </c>
      <c r="T39" s="384">
        <v>109</v>
      </c>
      <c r="U39" s="384">
        <v>109</v>
      </c>
      <c r="V39" s="384">
        <v>109</v>
      </c>
      <c r="W39" s="384">
        <v>109</v>
      </c>
      <c r="X39" s="384">
        <v>114</v>
      </c>
      <c r="Y39" s="384">
        <v>120</v>
      </c>
      <c r="Z39" s="384">
        <v>126</v>
      </c>
      <c r="AC39" s="380">
        <v>30</v>
      </c>
      <c r="AD39" s="384">
        <v>81</v>
      </c>
      <c r="AE39" s="384">
        <v>81</v>
      </c>
      <c r="AF39" s="384">
        <v>81</v>
      </c>
      <c r="AG39" s="384">
        <v>81</v>
      </c>
      <c r="AH39" s="384">
        <v>81</v>
      </c>
      <c r="AI39" s="384">
        <v>83</v>
      </c>
      <c r="AJ39" s="384">
        <v>83</v>
      </c>
      <c r="AK39" s="384">
        <v>83</v>
      </c>
      <c r="AL39" s="384">
        <v>85</v>
      </c>
      <c r="AM39" s="384">
        <v>85</v>
      </c>
      <c r="AN39" s="384">
        <v>87</v>
      </c>
      <c r="AO39" s="384">
        <v>87</v>
      </c>
      <c r="AP39" s="384">
        <v>90</v>
      </c>
      <c r="AQ39" s="384">
        <v>94</v>
      </c>
      <c r="AR39" s="384">
        <v>94</v>
      </c>
      <c r="AS39" s="384">
        <v>100</v>
      </c>
      <c r="AT39" s="384">
        <v>103</v>
      </c>
      <c r="AU39" s="384">
        <v>109</v>
      </c>
      <c r="AV39" s="384">
        <v>109</v>
      </c>
      <c r="AW39" s="384">
        <v>109</v>
      </c>
      <c r="AX39" s="384">
        <v>109</v>
      </c>
      <c r="AY39" s="384">
        <v>109</v>
      </c>
      <c r="AZ39" s="384">
        <v>114</v>
      </c>
      <c r="BA39" s="384">
        <v>120</v>
      </c>
      <c r="BB39" s="384">
        <v>126</v>
      </c>
      <c r="BE39" s="380">
        <v>30</v>
      </c>
      <c r="BF39" s="384">
        <v>81</v>
      </c>
      <c r="BG39" s="384">
        <v>81</v>
      </c>
      <c r="BH39" s="384">
        <v>81</v>
      </c>
      <c r="BI39" s="384">
        <v>81</v>
      </c>
      <c r="BJ39" s="384">
        <v>81</v>
      </c>
      <c r="BK39" s="384">
        <v>83</v>
      </c>
      <c r="BL39" s="384">
        <v>83</v>
      </c>
      <c r="BM39" s="384">
        <v>83</v>
      </c>
      <c r="BN39" s="384">
        <v>85</v>
      </c>
      <c r="BO39" s="384">
        <v>85</v>
      </c>
      <c r="BP39" s="384">
        <v>87</v>
      </c>
      <c r="BQ39" s="384">
        <v>87</v>
      </c>
      <c r="BR39" s="384">
        <v>90</v>
      </c>
      <c r="BS39" s="384">
        <v>94</v>
      </c>
      <c r="BT39" s="384">
        <v>94</v>
      </c>
      <c r="BU39" s="384">
        <v>100</v>
      </c>
      <c r="BV39" s="384">
        <v>103</v>
      </c>
      <c r="BW39" s="384">
        <v>109</v>
      </c>
      <c r="BX39" s="384">
        <v>109</v>
      </c>
      <c r="BY39" s="384">
        <v>109</v>
      </c>
      <c r="BZ39" s="384">
        <v>109</v>
      </c>
      <c r="CA39" s="384">
        <v>109</v>
      </c>
      <c r="CB39" s="384">
        <v>114</v>
      </c>
      <c r="CC39" s="384">
        <v>120</v>
      </c>
      <c r="CD39" s="384">
        <v>126</v>
      </c>
      <c r="CG39" s="380">
        <v>30</v>
      </c>
      <c r="CH39" s="384">
        <v>81</v>
      </c>
      <c r="CI39" s="384">
        <v>81</v>
      </c>
      <c r="CJ39" s="384">
        <v>81</v>
      </c>
      <c r="CK39" s="384">
        <v>81</v>
      </c>
      <c r="CL39" s="384">
        <v>83</v>
      </c>
      <c r="CM39" s="384">
        <v>85</v>
      </c>
      <c r="CN39" s="384">
        <v>85</v>
      </c>
      <c r="CO39" s="384">
        <v>85</v>
      </c>
      <c r="CP39" s="384">
        <v>87</v>
      </c>
      <c r="CQ39" s="384">
        <v>87</v>
      </c>
      <c r="CR39" s="384">
        <v>90</v>
      </c>
      <c r="CS39" s="384">
        <v>90</v>
      </c>
      <c r="CT39" s="384">
        <v>94</v>
      </c>
      <c r="CU39" s="384">
        <v>97</v>
      </c>
      <c r="CV39" s="384">
        <v>100</v>
      </c>
      <c r="CW39" s="384">
        <v>103</v>
      </c>
      <c r="CX39" s="384">
        <v>103</v>
      </c>
      <c r="CY39" s="384">
        <v>109</v>
      </c>
      <c r="CZ39" s="384">
        <v>109</v>
      </c>
      <c r="DA39" s="384">
        <v>109</v>
      </c>
      <c r="DB39" s="384">
        <v>112</v>
      </c>
      <c r="DC39" s="384">
        <v>114</v>
      </c>
      <c r="DD39" s="384">
        <v>120</v>
      </c>
      <c r="DE39" s="384">
        <v>123</v>
      </c>
      <c r="DF39" s="384">
        <v>126</v>
      </c>
      <c r="DI39" s="380">
        <v>30</v>
      </c>
      <c r="DJ39" s="384">
        <v>85</v>
      </c>
      <c r="DK39" s="384">
        <v>85</v>
      </c>
      <c r="DL39" s="384">
        <v>87</v>
      </c>
      <c r="DM39" s="384">
        <v>87</v>
      </c>
      <c r="DN39" s="384">
        <v>90</v>
      </c>
      <c r="DO39" s="384">
        <v>90</v>
      </c>
      <c r="DP39" s="384">
        <v>90</v>
      </c>
      <c r="DQ39" s="384">
        <v>94</v>
      </c>
      <c r="DR39" s="384">
        <v>94</v>
      </c>
      <c r="DS39" s="384">
        <v>97</v>
      </c>
      <c r="DT39" s="384">
        <v>97</v>
      </c>
      <c r="DU39" s="384">
        <v>100</v>
      </c>
      <c r="DV39" s="384">
        <v>106</v>
      </c>
      <c r="DW39" s="384">
        <v>109</v>
      </c>
      <c r="DX39" s="384">
        <v>109</v>
      </c>
      <c r="DY39" s="384">
        <v>112</v>
      </c>
      <c r="DZ39" s="384">
        <v>112</v>
      </c>
      <c r="EA39" s="384">
        <v>114</v>
      </c>
      <c r="EB39" s="384">
        <v>117</v>
      </c>
      <c r="EC39" s="384">
        <v>120</v>
      </c>
      <c r="ED39" s="384">
        <v>120</v>
      </c>
      <c r="EE39" s="384">
        <v>123</v>
      </c>
      <c r="EF39" s="384">
        <v>126</v>
      </c>
      <c r="EG39" s="384">
        <v>129</v>
      </c>
      <c r="EH39" s="384">
        <v>132</v>
      </c>
    </row>
    <row r="40" spans="1:138" x14ac:dyDescent="0.15">
      <c r="A40" s="380">
        <v>31</v>
      </c>
      <c r="B40" s="385">
        <v>81</v>
      </c>
      <c r="C40" s="384">
        <v>81</v>
      </c>
      <c r="D40" s="384">
        <v>81</v>
      </c>
      <c r="E40" s="384">
        <v>81</v>
      </c>
      <c r="F40" s="384">
        <v>81</v>
      </c>
      <c r="G40" s="384">
        <v>81</v>
      </c>
      <c r="H40" s="384">
        <v>83</v>
      </c>
      <c r="I40" s="384">
        <v>83</v>
      </c>
      <c r="J40" s="384">
        <v>85</v>
      </c>
      <c r="K40" s="384">
        <v>85</v>
      </c>
      <c r="L40" s="384">
        <v>87</v>
      </c>
      <c r="M40" s="384">
        <v>87</v>
      </c>
      <c r="N40" s="384">
        <v>90</v>
      </c>
      <c r="O40" s="384">
        <v>94</v>
      </c>
      <c r="P40" s="384">
        <v>94</v>
      </c>
      <c r="Q40" s="384">
        <v>100</v>
      </c>
      <c r="R40" s="384">
        <v>103</v>
      </c>
      <c r="S40" s="384">
        <v>109</v>
      </c>
      <c r="T40" s="384">
        <v>109</v>
      </c>
      <c r="U40" s="384">
        <v>109</v>
      </c>
      <c r="V40" s="384">
        <v>109</v>
      </c>
      <c r="W40" s="384">
        <v>109</v>
      </c>
      <c r="X40" s="384">
        <v>114</v>
      </c>
      <c r="Y40" s="384">
        <v>120</v>
      </c>
      <c r="Z40" s="384">
        <v>126</v>
      </c>
      <c r="AC40" s="380">
        <v>31</v>
      </c>
      <c r="AD40" s="384">
        <v>81</v>
      </c>
      <c r="AE40" s="384">
        <v>81</v>
      </c>
      <c r="AF40" s="384">
        <v>81</v>
      </c>
      <c r="AG40" s="384">
        <v>81</v>
      </c>
      <c r="AH40" s="384">
        <v>81</v>
      </c>
      <c r="AI40" s="384">
        <v>83</v>
      </c>
      <c r="AJ40" s="384">
        <v>83</v>
      </c>
      <c r="AK40" s="384">
        <v>83</v>
      </c>
      <c r="AL40" s="384">
        <v>85</v>
      </c>
      <c r="AM40" s="384">
        <v>85</v>
      </c>
      <c r="AN40" s="384">
        <v>87</v>
      </c>
      <c r="AO40" s="384">
        <v>87</v>
      </c>
      <c r="AP40" s="384">
        <v>90</v>
      </c>
      <c r="AQ40" s="384">
        <v>94</v>
      </c>
      <c r="AR40" s="384">
        <v>94</v>
      </c>
      <c r="AS40" s="384">
        <v>100</v>
      </c>
      <c r="AT40" s="384">
        <v>103</v>
      </c>
      <c r="AU40" s="384">
        <v>109</v>
      </c>
      <c r="AV40" s="384">
        <v>109</v>
      </c>
      <c r="AW40" s="384">
        <v>109</v>
      </c>
      <c r="AX40" s="384">
        <v>109</v>
      </c>
      <c r="AY40" s="384">
        <v>109</v>
      </c>
      <c r="AZ40" s="384">
        <v>114</v>
      </c>
      <c r="BA40" s="384">
        <v>120</v>
      </c>
      <c r="BB40" s="384">
        <v>126</v>
      </c>
      <c r="BE40" s="380">
        <v>31</v>
      </c>
      <c r="BF40" s="384">
        <v>81</v>
      </c>
      <c r="BG40" s="384">
        <v>81</v>
      </c>
      <c r="BH40" s="384">
        <v>81</v>
      </c>
      <c r="BI40" s="384">
        <v>81</v>
      </c>
      <c r="BJ40" s="384">
        <v>81</v>
      </c>
      <c r="BK40" s="384">
        <v>83</v>
      </c>
      <c r="BL40" s="384">
        <v>83</v>
      </c>
      <c r="BM40" s="384">
        <v>83</v>
      </c>
      <c r="BN40" s="384">
        <v>85</v>
      </c>
      <c r="BO40" s="384">
        <v>85</v>
      </c>
      <c r="BP40" s="384">
        <v>87</v>
      </c>
      <c r="BQ40" s="384">
        <v>87</v>
      </c>
      <c r="BR40" s="384">
        <v>90</v>
      </c>
      <c r="BS40" s="384">
        <v>94</v>
      </c>
      <c r="BT40" s="384">
        <v>94</v>
      </c>
      <c r="BU40" s="384">
        <v>100</v>
      </c>
      <c r="BV40" s="384">
        <v>103</v>
      </c>
      <c r="BW40" s="384">
        <v>109</v>
      </c>
      <c r="BX40" s="384">
        <v>109</v>
      </c>
      <c r="BY40" s="384">
        <v>109</v>
      </c>
      <c r="BZ40" s="384">
        <v>109</v>
      </c>
      <c r="CA40" s="384">
        <v>109</v>
      </c>
      <c r="CB40" s="384">
        <v>114</v>
      </c>
      <c r="CC40" s="384">
        <v>120</v>
      </c>
      <c r="CD40" s="384">
        <v>126</v>
      </c>
      <c r="CG40" s="381">
        <v>31</v>
      </c>
      <c r="CH40" s="384">
        <v>83</v>
      </c>
      <c r="CI40" s="384">
        <v>83</v>
      </c>
      <c r="CJ40" s="384">
        <v>83</v>
      </c>
      <c r="CK40" s="384">
        <v>83</v>
      </c>
      <c r="CL40" s="384">
        <v>85</v>
      </c>
      <c r="CM40" s="384">
        <v>87</v>
      </c>
      <c r="CN40" s="384">
        <v>87</v>
      </c>
      <c r="CO40" s="384">
        <v>87</v>
      </c>
      <c r="CP40" s="384">
        <v>90</v>
      </c>
      <c r="CQ40" s="384">
        <v>90</v>
      </c>
      <c r="CR40" s="384">
        <v>94</v>
      </c>
      <c r="CS40" s="384">
        <v>94</v>
      </c>
      <c r="CT40" s="384">
        <v>97</v>
      </c>
      <c r="CU40" s="384">
        <v>100</v>
      </c>
      <c r="CV40" s="384">
        <v>103</v>
      </c>
      <c r="CW40" s="384">
        <v>106</v>
      </c>
      <c r="CX40" s="384">
        <v>106</v>
      </c>
      <c r="CY40" s="384">
        <v>112</v>
      </c>
      <c r="CZ40" s="384">
        <v>112</v>
      </c>
      <c r="DA40" s="384">
        <v>112</v>
      </c>
      <c r="DB40" s="384">
        <v>114</v>
      </c>
      <c r="DC40" s="384">
        <v>117</v>
      </c>
      <c r="DD40" s="384">
        <v>123</v>
      </c>
      <c r="DE40" s="384">
        <v>126</v>
      </c>
      <c r="DF40" s="384">
        <v>129</v>
      </c>
      <c r="DI40" s="380">
        <v>31</v>
      </c>
      <c r="DJ40" s="384">
        <v>87</v>
      </c>
      <c r="DK40" s="384">
        <v>87</v>
      </c>
      <c r="DL40" s="384">
        <v>90</v>
      </c>
      <c r="DM40" s="384">
        <v>90</v>
      </c>
      <c r="DN40" s="384">
        <v>94</v>
      </c>
      <c r="DO40" s="384">
        <v>94</v>
      </c>
      <c r="DP40" s="384">
        <v>94</v>
      </c>
      <c r="DQ40" s="384">
        <v>97</v>
      </c>
      <c r="DR40" s="384">
        <v>97</v>
      </c>
      <c r="DS40" s="384">
        <v>100</v>
      </c>
      <c r="DT40" s="384">
        <v>100</v>
      </c>
      <c r="DU40" s="384">
        <v>103</v>
      </c>
      <c r="DV40" s="384">
        <v>109</v>
      </c>
      <c r="DW40" s="384">
        <v>112</v>
      </c>
      <c r="DX40" s="384">
        <v>112</v>
      </c>
      <c r="DY40" s="384">
        <v>114</v>
      </c>
      <c r="DZ40" s="384">
        <v>114</v>
      </c>
      <c r="EA40" s="384">
        <v>117</v>
      </c>
      <c r="EB40" s="384">
        <v>120</v>
      </c>
      <c r="EC40" s="384">
        <v>123</v>
      </c>
      <c r="ED40" s="384">
        <v>123</v>
      </c>
      <c r="EE40" s="384">
        <v>126</v>
      </c>
      <c r="EF40" s="384">
        <v>129</v>
      </c>
      <c r="EG40" s="384">
        <v>132</v>
      </c>
      <c r="EH40" s="384">
        <v>136</v>
      </c>
    </row>
    <row r="41" spans="1:138" x14ac:dyDescent="0.15">
      <c r="A41" s="380">
        <v>32</v>
      </c>
      <c r="B41" s="385">
        <v>81</v>
      </c>
      <c r="C41" s="384">
        <v>81</v>
      </c>
      <c r="D41" s="384">
        <v>81</v>
      </c>
      <c r="E41" s="384">
        <v>81</v>
      </c>
      <c r="F41" s="384">
        <v>81</v>
      </c>
      <c r="G41" s="384">
        <v>81</v>
      </c>
      <c r="H41" s="384">
        <v>83</v>
      </c>
      <c r="I41" s="384">
        <v>83</v>
      </c>
      <c r="J41" s="384">
        <v>85</v>
      </c>
      <c r="K41" s="384">
        <v>85</v>
      </c>
      <c r="L41" s="384">
        <v>87</v>
      </c>
      <c r="M41" s="384">
        <v>87</v>
      </c>
      <c r="N41" s="384">
        <v>90</v>
      </c>
      <c r="O41" s="384">
        <v>94</v>
      </c>
      <c r="P41" s="384">
        <v>94</v>
      </c>
      <c r="Q41" s="384">
        <v>100</v>
      </c>
      <c r="R41" s="384">
        <v>103</v>
      </c>
      <c r="S41" s="384">
        <v>109</v>
      </c>
      <c r="T41" s="384">
        <v>109</v>
      </c>
      <c r="U41" s="384">
        <v>109</v>
      </c>
      <c r="V41" s="384">
        <v>109</v>
      </c>
      <c r="W41" s="384">
        <v>109</v>
      </c>
      <c r="X41" s="384">
        <v>114</v>
      </c>
      <c r="Y41" s="384">
        <v>120</v>
      </c>
      <c r="Z41" s="384">
        <v>126</v>
      </c>
      <c r="AC41" s="380">
        <v>32</v>
      </c>
      <c r="AD41" s="384">
        <v>81</v>
      </c>
      <c r="AE41" s="384">
        <v>81</v>
      </c>
      <c r="AF41" s="384">
        <v>81</v>
      </c>
      <c r="AG41" s="384">
        <v>81</v>
      </c>
      <c r="AH41" s="384">
        <v>81</v>
      </c>
      <c r="AI41" s="384">
        <v>83</v>
      </c>
      <c r="AJ41" s="384">
        <v>83</v>
      </c>
      <c r="AK41" s="384">
        <v>83</v>
      </c>
      <c r="AL41" s="384">
        <v>85</v>
      </c>
      <c r="AM41" s="384">
        <v>85</v>
      </c>
      <c r="AN41" s="384">
        <v>87</v>
      </c>
      <c r="AO41" s="384">
        <v>87</v>
      </c>
      <c r="AP41" s="384">
        <v>90</v>
      </c>
      <c r="AQ41" s="384">
        <v>94</v>
      </c>
      <c r="AR41" s="384">
        <v>94</v>
      </c>
      <c r="AS41" s="384">
        <v>100</v>
      </c>
      <c r="AT41" s="384">
        <v>103</v>
      </c>
      <c r="AU41" s="384">
        <v>109</v>
      </c>
      <c r="AV41" s="384">
        <v>109</v>
      </c>
      <c r="AW41" s="384">
        <v>109</v>
      </c>
      <c r="AX41" s="384">
        <v>109</v>
      </c>
      <c r="AY41" s="384">
        <v>109</v>
      </c>
      <c r="AZ41" s="384">
        <v>114</v>
      </c>
      <c r="BA41" s="384">
        <v>120</v>
      </c>
      <c r="BB41" s="384">
        <v>126</v>
      </c>
      <c r="BE41" s="380">
        <v>32</v>
      </c>
      <c r="BF41" s="384">
        <v>81</v>
      </c>
      <c r="BG41" s="384">
        <v>81</v>
      </c>
      <c r="BH41" s="384">
        <v>81</v>
      </c>
      <c r="BI41" s="384">
        <v>81</v>
      </c>
      <c r="BJ41" s="384">
        <v>81</v>
      </c>
      <c r="BK41" s="384">
        <v>83</v>
      </c>
      <c r="BL41" s="384">
        <v>83</v>
      </c>
      <c r="BM41" s="384">
        <v>83</v>
      </c>
      <c r="BN41" s="384">
        <v>85</v>
      </c>
      <c r="BO41" s="384">
        <v>85</v>
      </c>
      <c r="BP41" s="384">
        <v>87</v>
      </c>
      <c r="BQ41" s="384">
        <v>87</v>
      </c>
      <c r="BR41" s="384">
        <v>90</v>
      </c>
      <c r="BS41" s="384">
        <v>94</v>
      </c>
      <c r="BT41" s="384">
        <v>94</v>
      </c>
      <c r="BU41" s="384">
        <v>100</v>
      </c>
      <c r="BV41" s="384">
        <v>103</v>
      </c>
      <c r="BW41" s="384">
        <v>109</v>
      </c>
      <c r="BX41" s="384">
        <v>109</v>
      </c>
      <c r="BY41" s="384">
        <v>109</v>
      </c>
      <c r="BZ41" s="384">
        <v>109</v>
      </c>
      <c r="CA41" s="384">
        <v>109</v>
      </c>
      <c r="CB41" s="384">
        <v>114</v>
      </c>
      <c r="CC41" s="384">
        <v>120</v>
      </c>
      <c r="CD41" s="384">
        <v>126</v>
      </c>
      <c r="CG41" s="380">
        <v>32</v>
      </c>
      <c r="CH41" s="384">
        <v>85</v>
      </c>
      <c r="CI41" s="384">
        <v>85</v>
      </c>
      <c r="CJ41" s="384">
        <v>85</v>
      </c>
      <c r="CK41" s="384">
        <v>85</v>
      </c>
      <c r="CL41" s="384">
        <v>87</v>
      </c>
      <c r="CM41" s="384">
        <v>90</v>
      </c>
      <c r="CN41" s="384">
        <v>90</v>
      </c>
      <c r="CO41" s="384">
        <v>90</v>
      </c>
      <c r="CP41" s="384">
        <v>94</v>
      </c>
      <c r="CQ41" s="384">
        <v>94</v>
      </c>
      <c r="CR41" s="384">
        <v>97</v>
      </c>
      <c r="CS41" s="384">
        <v>97</v>
      </c>
      <c r="CT41" s="384">
        <v>100</v>
      </c>
      <c r="CU41" s="384">
        <v>103</v>
      </c>
      <c r="CV41" s="384">
        <v>106</v>
      </c>
      <c r="CW41" s="384">
        <v>109</v>
      </c>
      <c r="CX41" s="384">
        <v>109</v>
      </c>
      <c r="CY41" s="384">
        <v>114</v>
      </c>
      <c r="CZ41" s="384">
        <v>114</v>
      </c>
      <c r="DA41" s="384">
        <v>114</v>
      </c>
      <c r="DB41" s="384">
        <v>117</v>
      </c>
      <c r="DC41" s="384">
        <v>120</v>
      </c>
      <c r="DD41" s="384">
        <v>126</v>
      </c>
      <c r="DE41" s="384">
        <v>129</v>
      </c>
      <c r="DF41" s="384">
        <v>132</v>
      </c>
      <c r="DI41" s="380">
        <v>32</v>
      </c>
      <c r="DJ41" s="384">
        <v>87</v>
      </c>
      <c r="DK41" s="384">
        <v>87</v>
      </c>
      <c r="DL41" s="384">
        <v>90</v>
      </c>
      <c r="DM41" s="384">
        <v>90</v>
      </c>
      <c r="DN41" s="384">
        <v>94</v>
      </c>
      <c r="DO41" s="384">
        <v>94</v>
      </c>
      <c r="DP41" s="384">
        <v>94</v>
      </c>
      <c r="DQ41" s="384">
        <v>97</v>
      </c>
      <c r="DR41" s="384">
        <v>97</v>
      </c>
      <c r="DS41" s="384">
        <v>100</v>
      </c>
      <c r="DT41" s="384">
        <v>100</v>
      </c>
      <c r="DU41" s="384">
        <v>103</v>
      </c>
      <c r="DV41" s="384">
        <v>109</v>
      </c>
      <c r="DW41" s="384">
        <v>112</v>
      </c>
      <c r="DX41" s="384">
        <v>112</v>
      </c>
      <c r="DY41" s="384">
        <v>114</v>
      </c>
      <c r="DZ41" s="384">
        <v>114</v>
      </c>
      <c r="EA41" s="384">
        <v>117</v>
      </c>
      <c r="EB41" s="384">
        <v>120</v>
      </c>
      <c r="EC41" s="384">
        <v>123</v>
      </c>
      <c r="ED41" s="384">
        <v>123</v>
      </c>
      <c r="EE41" s="384">
        <v>126</v>
      </c>
      <c r="EF41" s="384">
        <v>129</v>
      </c>
      <c r="EG41" s="384">
        <v>132</v>
      </c>
      <c r="EH41" s="384">
        <v>136</v>
      </c>
    </row>
    <row r="42" spans="1:138" x14ac:dyDescent="0.15">
      <c r="A42" s="380">
        <v>33</v>
      </c>
      <c r="B42" s="385">
        <v>83</v>
      </c>
      <c r="C42" s="384">
        <v>83</v>
      </c>
      <c r="D42" s="384">
        <v>83</v>
      </c>
      <c r="E42" s="384">
        <v>83</v>
      </c>
      <c r="F42" s="384">
        <v>83</v>
      </c>
      <c r="G42" s="384">
        <v>83</v>
      </c>
      <c r="H42" s="384">
        <v>85</v>
      </c>
      <c r="I42" s="384">
        <v>85</v>
      </c>
      <c r="J42" s="384">
        <v>87</v>
      </c>
      <c r="K42" s="384">
        <v>87</v>
      </c>
      <c r="L42" s="384">
        <v>90</v>
      </c>
      <c r="M42" s="384">
        <v>90</v>
      </c>
      <c r="N42" s="384">
        <v>94</v>
      </c>
      <c r="O42" s="384">
        <v>97</v>
      </c>
      <c r="P42" s="384">
        <v>97</v>
      </c>
      <c r="Q42" s="384">
        <v>103</v>
      </c>
      <c r="R42" s="384">
        <v>106</v>
      </c>
      <c r="S42" s="384">
        <v>112</v>
      </c>
      <c r="T42" s="384">
        <v>112</v>
      </c>
      <c r="U42" s="384">
        <v>112</v>
      </c>
      <c r="V42" s="384">
        <v>112</v>
      </c>
      <c r="W42" s="384">
        <v>112</v>
      </c>
      <c r="X42" s="384">
        <v>117</v>
      </c>
      <c r="Y42" s="384">
        <v>123</v>
      </c>
      <c r="Z42" s="384">
        <v>129</v>
      </c>
      <c r="AC42" s="380">
        <v>33</v>
      </c>
      <c r="AD42" s="384">
        <v>83</v>
      </c>
      <c r="AE42" s="384">
        <v>83</v>
      </c>
      <c r="AF42" s="384">
        <v>83</v>
      </c>
      <c r="AG42" s="384">
        <v>83</v>
      </c>
      <c r="AH42" s="384">
        <v>83</v>
      </c>
      <c r="AI42" s="384">
        <v>85</v>
      </c>
      <c r="AJ42" s="384">
        <v>85</v>
      </c>
      <c r="AK42" s="384">
        <v>85</v>
      </c>
      <c r="AL42" s="384">
        <v>87</v>
      </c>
      <c r="AM42" s="384">
        <v>87</v>
      </c>
      <c r="AN42" s="384">
        <v>90</v>
      </c>
      <c r="AO42" s="384">
        <v>90</v>
      </c>
      <c r="AP42" s="384">
        <v>94</v>
      </c>
      <c r="AQ42" s="384">
        <v>97</v>
      </c>
      <c r="AR42" s="384">
        <v>97</v>
      </c>
      <c r="AS42" s="384">
        <v>103</v>
      </c>
      <c r="AT42" s="384">
        <v>106</v>
      </c>
      <c r="AU42" s="384">
        <v>112</v>
      </c>
      <c r="AV42" s="384">
        <v>112</v>
      </c>
      <c r="AW42" s="384">
        <v>112</v>
      </c>
      <c r="AX42" s="384">
        <v>112</v>
      </c>
      <c r="AY42" s="384">
        <v>112</v>
      </c>
      <c r="AZ42" s="384">
        <v>117</v>
      </c>
      <c r="BA42" s="384">
        <v>123</v>
      </c>
      <c r="BB42" s="384">
        <v>129</v>
      </c>
      <c r="BE42" s="380">
        <v>33</v>
      </c>
      <c r="BF42" s="384">
        <v>83</v>
      </c>
      <c r="BG42" s="384">
        <v>83</v>
      </c>
      <c r="BH42" s="384">
        <v>83</v>
      </c>
      <c r="BI42" s="384">
        <v>83</v>
      </c>
      <c r="BJ42" s="384">
        <v>83</v>
      </c>
      <c r="BK42" s="384">
        <v>85</v>
      </c>
      <c r="BL42" s="384">
        <v>85</v>
      </c>
      <c r="BM42" s="384">
        <v>85</v>
      </c>
      <c r="BN42" s="384">
        <v>87</v>
      </c>
      <c r="BO42" s="384">
        <v>87</v>
      </c>
      <c r="BP42" s="384">
        <v>90</v>
      </c>
      <c r="BQ42" s="384">
        <v>90</v>
      </c>
      <c r="BR42" s="384">
        <v>94</v>
      </c>
      <c r="BS42" s="384">
        <v>97</v>
      </c>
      <c r="BT42" s="384">
        <v>97</v>
      </c>
      <c r="BU42" s="384">
        <v>103</v>
      </c>
      <c r="BV42" s="384">
        <v>106</v>
      </c>
      <c r="BW42" s="384">
        <v>112</v>
      </c>
      <c r="BX42" s="384">
        <v>112</v>
      </c>
      <c r="BY42" s="384">
        <v>112</v>
      </c>
      <c r="BZ42" s="384">
        <v>112</v>
      </c>
      <c r="CA42" s="384">
        <v>112</v>
      </c>
      <c r="CB42" s="384">
        <v>117</v>
      </c>
      <c r="CC42" s="384">
        <v>123</v>
      </c>
      <c r="CD42" s="384">
        <v>129</v>
      </c>
      <c r="CG42" s="380">
        <v>33</v>
      </c>
      <c r="CH42" s="384">
        <v>87</v>
      </c>
      <c r="CI42" s="384">
        <v>87</v>
      </c>
      <c r="CJ42" s="384">
        <v>87</v>
      </c>
      <c r="CK42" s="384">
        <v>87</v>
      </c>
      <c r="CL42" s="384">
        <v>90</v>
      </c>
      <c r="CM42" s="384">
        <v>94</v>
      </c>
      <c r="CN42" s="384">
        <v>94</v>
      </c>
      <c r="CO42" s="384">
        <v>94</v>
      </c>
      <c r="CP42" s="384">
        <v>97</v>
      </c>
      <c r="CQ42" s="384">
        <v>97</v>
      </c>
      <c r="CR42" s="384">
        <v>100</v>
      </c>
      <c r="CS42" s="384">
        <v>100</v>
      </c>
      <c r="CT42" s="384">
        <v>103</v>
      </c>
      <c r="CU42" s="384">
        <v>106</v>
      </c>
      <c r="CV42" s="384">
        <v>109</v>
      </c>
      <c r="CW42" s="384">
        <v>112</v>
      </c>
      <c r="CX42" s="384">
        <v>112</v>
      </c>
      <c r="CY42" s="384">
        <v>117</v>
      </c>
      <c r="CZ42" s="384">
        <v>117</v>
      </c>
      <c r="DA42" s="384">
        <v>117</v>
      </c>
      <c r="DB42" s="384">
        <v>120</v>
      </c>
      <c r="DC42" s="384">
        <v>123</v>
      </c>
      <c r="DD42" s="384">
        <v>129</v>
      </c>
      <c r="DE42" s="384">
        <v>132</v>
      </c>
      <c r="DF42" s="384">
        <v>136</v>
      </c>
      <c r="DI42" s="380">
        <v>33</v>
      </c>
      <c r="DJ42" s="384">
        <v>90</v>
      </c>
      <c r="DK42" s="384">
        <v>90</v>
      </c>
      <c r="DL42" s="384">
        <v>94</v>
      </c>
      <c r="DM42" s="384">
        <v>94</v>
      </c>
      <c r="DN42" s="384">
        <v>97</v>
      </c>
      <c r="DO42" s="384">
        <v>97</v>
      </c>
      <c r="DP42" s="384">
        <v>97</v>
      </c>
      <c r="DQ42" s="384">
        <v>100</v>
      </c>
      <c r="DR42" s="384">
        <v>100</v>
      </c>
      <c r="DS42" s="384">
        <v>103</v>
      </c>
      <c r="DT42" s="384">
        <v>103</v>
      </c>
      <c r="DU42" s="384">
        <v>106</v>
      </c>
      <c r="DV42" s="384">
        <v>112</v>
      </c>
      <c r="DW42" s="384">
        <v>114</v>
      </c>
      <c r="DX42" s="384">
        <v>114</v>
      </c>
      <c r="DY42" s="384">
        <v>117</v>
      </c>
      <c r="DZ42" s="384">
        <v>117</v>
      </c>
      <c r="EA42" s="384">
        <v>120</v>
      </c>
      <c r="EB42" s="384">
        <v>123</v>
      </c>
      <c r="EC42" s="384">
        <v>126</v>
      </c>
      <c r="ED42" s="384">
        <v>126</v>
      </c>
      <c r="EE42" s="384">
        <v>129</v>
      </c>
      <c r="EF42" s="384">
        <v>132</v>
      </c>
      <c r="EG42" s="384">
        <v>136</v>
      </c>
      <c r="EH42" s="384">
        <v>140</v>
      </c>
    </row>
    <row r="43" spans="1:138" x14ac:dyDescent="0.15">
      <c r="A43" s="380">
        <v>34</v>
      </c>
      <c r="B43" s="385">
        <v>85</v>
      </c>
      <c r="C43" s="384">
        <v>85</v>
      </c>
      <c r="D43" s="384">
        <v>85</v>
      </c>
      <c r="E43" s="384">
        <v>85</v>
      </c>
      <c r="F43" s="384">
        <v>85</v>
      </c>
      <c r="G43" s="384">
        <v>85</v>
      </c>
      <c r="H43" s="384">
        <v>87</v>
      </c>
      <c r="I43" s="384">
        <v>87</v>
      </c>
      <c r="J43" s="384">
        <v>90</v>
      </c>
      <c r="K43" s="384">
        <v>90</v>
      </c>
      <c r="L43" s="384">
        <v>94</v>
      </c>
      <c r="M43" s="384">
        <v>94</v>
      </c>
      <c r="N43" s="384">
        <v>97</v>
      </c>
      <c r="O43" s="384">
        <v>100</v>
      </c>
      <c r="P43" s="384">
        <v>100</v>
      </c>
      <c r="Q43" s="384">
        <v>106</v>
      </c>
      <c r="R43" s="384">
        <v>109</v>
      </c>
      <c r="S43" s="384">
        <v>114</v>
      </c>
      <c r="T43" s="384">
        <v>114</v>
      </c>
      <c r="U43" s="384">
        <v>114</v>
      </c>
      <c r="V43" s="384">
        <v>114</v>
      </c>
      <c r="W43" s="384">
        <v>114</v>
      </c>
      <c r="X43" s="384">
        <v>120</v>
      </c>
      <c r="Y43" s="384">
        <v>126</v>
      </c>
      <c r="Z43" s="384">
        <v>132</v>
      </c>
      <c r="AC43" s="380">
        <v>34</v>
      </c>
      <c r="AD43" s="384">
        <v>85</v>
      </c>
      <c r="AE43" s="384">
        <v>85</v>
      </c>
      <c r="AF43" s="384">
        <v>85</v>
      </c>
      <c r="AG43" s="384">
        <v>85</v>
      </c>
      <c r="AH43" s="384">
        <v>85</v>
      </c>
      <c r="AI43" s="384">
        <v>87</v>
      </c>
      <c r="AJ43" s="384">
        <v>87</v>
      </c>
      <c r="AK43" s="384">
        <v>87</v>
      </c>
      <c r="AL43" s="384">
        <v>90</v>
      </c>
      <c r="AM43" s="384">
        <v>90</v>
      </c>
      <c r="AN43" s="384">
        <v>94</v>
      </c>
      <c r="AO43" s="384">
        <v>94</v>
      </c>
      <c r="AP43" s="384">
        <v>97</v>
      </c>
      <c r="AQ43" s="384">
        <v>100</v>
      </c>
      <c r="AR43" s="384">
        <v>100</v>
      </c>
      <c r="AS43" s="384">
        <v>106</v>
      </c>
      <c r="AT43" s="384">
        <v>109</v>
      </c>
      <c r="AU43" s="384">
        <v>114</v>
      </c>
      <c r="AV43" s="384">
        <v>114</v>
      </c>
      <c r="AW43" s="384">
        <v>114</v>
      </c>
      <c r="AX43" s="384">
        <v>114</v>
      </c>
      <c r="AY43" s="384">
        <v>114</v>
      </c>
      <c r="AZ43" s="384">
        <v>120</v>
      </c>
      <c r="BA43" s="384">
        <v>126</v>
      </c>
      <c r="BB43" s="384">
        <v>132</v>
      </c>
      <c r="BE43" s="380">
        <v>34</v>
      </c>
      <c r="BF43" s="384">
        <v>85</v>
      </c>
      <c r="BG43" s="384">
        <v>85</v>
      </c>
      <c r="BH43" s="384">
        <v>85</v>
      </c>
      <c r="BI43" s="384">
        <v>85</v>
      </c>
      <c r="BJ43" s="384">
        <v>85</v>
      </c>
      <c r="BK43" s="384">
        <v>87</v>
      </c>
      <c r="BL43" s="384">
        <v>87</v>
      </c>
      <c r="BM43" s="384">
        <v>87</v>
      </c>
      <c r="BN43" s="384">
        <v>90</v>
      </c>
      <c r="BO43" s="384">
        <v>90</v>
      </c>
      <c r="BP43" s="384">
        <v>94</v>
      </c>
      <c r="BQ43" s="384">
        <v>94</v>
      </c>
      <c r="BR43" s="384">
        <v>97</v>
      </c>
      <c r="BS43" s="384">
        <v>100</v>
      </c>
      <c r="BT43" s="384">
        <v>100</v>
      </c>
      <c r="BU43" s="384">
        <v>106</v>
      </c>
      <c r="BV43" s="384">
        <v>109</v>
      </c>
      <c r="BW43" s="384">
        <v>114</v>
      </c>
      <c r="BX43" s="384">
        <v>114</v>
      </c>
      <c r="BY43" s="384">
        <v>114</v>
      </c>
      <c r="BZ43" s="384">
        <v>114</v>
      </c>
      <c r="CA43" s="384">
        <v>114</v>
      </c>
      <c r="CB43" s="384">
        <v>120</v>
      </c>
      <c r="CC43" s="384">
        <v>126</v>
      </c>
      <c r="CD43" s="384">
        <v>132</v>
      </c>
      <c r="CG43" s="380">
        <v>34</v>
      </c>
      <c r="CH43" s="384">
        <v>87</v>
      </c>
      <c r="CI43" s="384">
        <v>87</v>
      </c>
      <c r="CJ43" s="384">
        <v>87</v>
      </c>
      <c r="CK43" s="384">
        <v>87</v>
      </c>
      <c r="CL43" s="384">
        <v>90</v>
      </c>
      <c r="CM43" s="384">
        <v>94</v>
      </c>
      <c r="CN43" s="384">
        <v>94</v>
      </c>
      <c r="CO43" s="384">
        <v>94</v>
      </c>
      <c r="CP43" s="384">
        <v>97</v>
      </c>
      <c r="CQ43" s="384">
        <v>97</v>
      </c>
      <c r="CR43" s="384">
        <v>100</v>
      </c>
      <c r="CS43" s="384">
        <v>100</v>
      </c>
      <c r="CT43" s="384">
        <v>103</v>
      </c>
      <c r="CU43" s="384">
        <v>106</v>
      </c>
      <c r="CV43" s="384">
        <v>109</v>
      </c>
      <c r="CW43" s="384">
        <v>112</v>
      </c>
      <c r="CX43" s="384">
        <v>112</v>
      </c>
      <c r="CY43" s="384">
        <v>117</v>
      </c>
      <c r="CZ43" s="384">
        <v>117</v>
      </c>
      <c r="DA43" s="384">
        <v>117</v>
      </c>
      <c r="DB43" s="384">
        <v>120</v>
      </c>
      <c r="DC43" s="384">
        <v>123</v>
      </c>
      <c r="DD43" s="384">
        <v>129</v>
      </c>
      <c r="DE43" s="384">
        <v>132</v>
      </c>
      <c r="DF43" s="384">
        <v>136</v>
      </c>
      <c r="DI43" s="380">
        <v>34</v>
      </c>
      <c r="DJ43" s="384">
        <v>90</v>
      </c>
      <c r="DK43" s="384">
        <v>90</v>
      </c>
      <c r="DL43" s="384">
        <v>94</v>
      </c>
      <c r="DM43" s="384">
        <v>94</v>
      </c>
      <c r="DN43" s="384">
        <v>97</v>
      </c>
      <c r="DO43" s="384">
        <v>97</v>
      </c>
      <c r="DP43" s="384">
        <v>97</v>
      </c>
      <c r="DQ43" s="384">
        <v>100</v>
      </c>
      <c r="DR43" s="384">
        <v>100</v>
      </c>
      <c r="DS43" s="384">
        <v>103</v>
      </c>
      <c r="DT43" s="384">
        <v>103</v>
      </c>
      <c r="DU43" s="384">
        <v>106</v>
      </c>
      <c r="DV43" s="384">
        <v>112</v>
      </c>
      <c r="DW43" s="384">
        <v>114</v>
      </c>
      <c r="DX43" s="384">
        <v>114</v>
      </c>
      <c r="DY43" s="384">
        <v>117</v>
      </c>
      <c r="DZ43" s="384">
        <v>117</v>
      </c>
      <c r="EA43" s="384">
        <v>120</v>
      </c>
      <c r="EB43" s="384">
        <v>123</v>
      </c>
      <c r="EC43" s="384">
        <v>126</v>
      </c>
      <c r="ED43" s="384">
        <v>126</v>
      </c>
      <c r="EE43" s="384">
        <v>129</v>
      </c>
      <c r="EF43" s="384">
        <v>132</v>
      </c>
      <c r="EG43" s="384">
        <v>136</v>
      </c>
      <c r="EH43" s="384">
        <v>140</v>
      </c>
    </row>
    <row r="44" spans="1:138" x14ac:dyDescent="0.15">
      <c r="A44" s="380">
        <v>35</v>
      </c>
      <c r="B44" s="385">
        <v>87</v>
      </c>
      <c r="C44" s="384">
        <v>87</v>
      </c>
      <c r="D44" s="384">
        <v>87</v>
      </c>
      <c r="E44" s="384">
        <v>87</v>
      </c>
      <c r="F44" s="384">
        <v>87</v>
      </c>
      <c r="G44" s="384">
        <v>87</v>
      </c>
      <c r="H44" s="384">
        <v>90</v>
      </c>
      <c r="I44" s="384">
        <v>90</v>
      </c>
      <c r="J44" s="384">
        <v>94</v>
      </c>
      <c r="K44" s="384">
        <v>94</v>
      </c>
      <c r="L44" s="384">
        <v>97</v>
      </c>
      <c r="M44" s="384">
        <v>97</v>
      </c>
      <c r="N44" s="384">
        <v>100</v>
      </c>
      <c r="O44" s="384">
        <v>103</v>
      </c>
      <c r="P44" s="384">
        <v>103</v>
      </c>
      <c r="Q44" s="384">
        <v>109</v>
      </c>
      <c r="R44" s="384">
        <v>112</v>
      </c>
      <c r="S44" s="384">
        <v>117</v>
      </c>
      <c r="T44" s="384">
        <v>117</v>
      </c>
      <c r="U44" s="384">
        <v>117</v>
      </c>
      <c r="V44" s="384">
        <v>117</v>
      </c>
      <c r="W44" s="384">
        <v>117</v>
      </c>
      <c r="X44" s="384">
        <v>123</v>
      </c>
      <c r="Y44" s="384">
        <v>129</v>
      </c>
      <c r="Z44" s="384">
        <v>136</v>
      </c>
      <c r="AC44" s="380">
        <v>35</v>
      </c>
      <c r="AD44" s="384">
        <v>87</v>
      </c>
      <c r="AE44" s="384">
        <v>87</v>
      </c>
      <c r="AF44" s="384">
        <v>87</v>
      </c>
      <c r="AG44" s="384">
        <v>87</v>
      </c>
      <c r="AH44" s="384">
        <v>87</v>
      </c>
      <c r="AI44" s="384">
        <v>90</v>
      </c>
      <c r="AJ44" s="384">
        <v>90</v>
      </c>
      <c r="AK44" s="384">
        <v>90</v>
      </c>
      <c r="AL44" s="384">
        <v>94</v>
      </c>
      <c r="AM44" s="384">
        <v>94</v>
      </c>
      <c r="AN44" s="384">
        <v>97</v>
      </c>
      <c r="AO44" s="384">
        <v>97</v>
      </c>
      <c r="AP44" s="384">
        <v>100</v>
      </c>
      <c r="AQ44" s="384">
        <v>103</v>
      </c>
      <c r="AR44" s="384">
        <v>103</v>
      </c>
      <c r="AS44" s="384">
        <v>109</v>
      </c>
      <c r="AT44" s="384">
        <v>112</v>
      </c>
      <c r="AU44" s="384">
        <v>117</v>
      </c>
      <c r="AV44" s="384">
        <v>117</v>
      </c>
      <c r="AW44" s="384">
        <v>117</v>
      </c>
      <c r="AX44" s="384">
        <v>117</v>
      </c>
      <c r="AY44" s="384">
        <v>117</v>
      </c>
      <c r="AZ44" s="384">
        <v>123</v>
      </c>
      <c r="BA44" s="384">
        <v>129</v>
      </c>
      <c r="BB44" s="384">
        <v>136</v>
      </c>
      <c r="BE44" s="380">
        <v>35</v>
      </c>
      <c r="BF44" s="384">
        <v>87</v>
      </c>
      <c r="BG44" s="384">
        <v>87</v>
      </c>
      <c r="BH44" s="384">
        <v>87</v>
      </c>
      <c r="BI44" s="384">
        <v>87</v>
      </c>
      <c r="BJ44" s="384">
        <v>87</v>
      </c>
      <c r="BK44" s="384">
        <v>90</v>
      </c>
      <c r="BL44" s="384">
        <v>90</v>
      </c>
      <c r="BM44" s="384">
        <v>90</v>
      </c>
      <c r="BN44" s="384">
        <v>94</v>
      </c>
      <c r="BO44" s="384">
        <v>94</v>
      </c>
      <c r="BP44" s="384">
        <v>97</v>
      </c>
      <c r="BQ44" s="384">
        <v>97</v>
      </c>
      <c r="BR44" s="384">
        <v>100</v>
      </c>
      <c r="BS44" s="384">
        <v>103</v>
      </c>
      <c r="BT44" s="384">
        <v>103</v>
      </c>
      <c r="BU44" s="384">
        <v>109</v>
      </c>
      <c r="BV44" s="384">
        <v>112</v>
      </c>
      <c r="BW44" s="384">
        <v>117</v>
      </c>
      <c r="BX44" s="384">
        <v>117</v>
      </c>
      <c r="BY44" s="384">
        <v>117</v>
      </c>
      <c r="BZ44" s="384">
        <v>117</v>
      </c>
      <c r="CA44" s="384">
        <v>117</v>
      </c>
      <c r="CB44" s="384">
        <v>123</v>
      </c>
      <c r="CC44" s="384">
        <v>129</v>
      </c>
      <c r="CD44" s="384">
        <v>136</v>
      </c>
      <c r="CG44" s="380">
        <v>35</v>
      </c>
      <c r="CH44" s="384">
        <v>90</v>
      </c>
      <c r="CI44" s="384">
        <v>90</v>
      </c>
      <c r="CJ44" s="384">
        <v>90</v>
      </c>
      <c r="CK44" s="384">
        <v>90</v>
      </c>
      <c r="CL44" s="384">
        <v>94</v>
      </c>
      <c r="CM44" s="384">
        <v>97</v>
      </c>
      <c r="CN44" s="384">
        <v>97</v>
      </c>
      <c r="CO44" s="384">
        <v>97</v>
      </c>
      <c r="CP44" s="384">
        <v>100</v>
      </c>
      <c r="CQ44" s="384">
        <v>100</v>
      </c>
      <c r="CR44" s="384">
        <v>103</v>
      </c>
      <c r="CS44" s="384">
        <v>103</v>
      </c>
      <c r="CT44" s="384">
        <v>106</v>
      </c>
      <c r="CU44" s="384">
        <v>109</v>
      </c>
      <c r="CV44" s="384">
        <v>112</v>
      </c>
      <c r="CW44" s="384">
        <v>114</v>
      </c>
      <c r="CX44" s="384">
        <v>114</v>
      </c>
      <c r="CY44" s="384">
        <v>120</v>
      </c>
      <c r="CZ44" s="384">
        <v>120</v>
      </c>
      <c r="DA44" s="384">
        <v>120</v>
      </c>
      <c r="DB44" s="384">
        <v>123</v>
      </c>
      <c r="DC44" s="384">
        <v>126</v>
      </c>
      <c r="DD44" s="384">
        <v>132</v>
      </c>
      <c r="DE44" s="384">
        <v>136</v>
      </c>
      <c r="DF44" s="384">
        <v>140</v>
      </c>
      <c r="DI44" s="380">
        <v>35</v>
      </c>
      <c r="DJ44" s="384">
        <v>94</v>
      </c>
      <c r="DK44" s="384">
        <v>94</v>
      </c>
      <c r="DL44" s="384">
        <v>97</v>
      </c>
      <c r="DM44" s="384">
        <v>97</v>
      </c>
      <c r="DN44" s="384">
        <v>100</v>
      </c>
      <c r="DO44" s="384">
        <v>100</v>
      </c>
      <c r="DP44" s="384">
        <v>100</v>
      </c>
      <c r="DQ44" s="384">
        <v>103</v>
      </c>
      <c r="DR44" s="384">
        <v>103</v>
      </c>
      <c r="DS44" s="384">
        <v>106</v>
      </c>
      <c r="DT44" s="384">
        <v>106</v>
      </c>
      <c r="DU44" s="384">
        <v>109</v>
      </c>
      <c r="DV44" s="384">
        <v>114</v>
      </c>
      <c r="DW44" s="384">
        <v>117</v>
      </c>
      <c r="DX44" s="384">
        <v>117</v>
      </c>
      <c r="DY44" s="384">
        <v>120</v>
      </c>
      <c r="DZ44" s="384">
        <v>120</v>
      </c>
      <c r="EA44" s="384">
        <v>123</v>
      </c>
      <c r="EB44" s="384">
        <v>126</v>
      </c>
      <c r="EC44" s="384">
        <v>129</v>
      </c>
      <c r="ED44" s="384">
        <v>129</v>
      </c>
      <c r="EE44" s="384">
        <v>132</v>
      </c>
      <c r="EF44" s="384">
        <v>136</v>
      </c>
      <c r="EG44" s="384">
        <v>140</v>
      </c>
      <c r="EH44" s="384">
        <v>144</v>
      </c>
    </row>
    <row r="45" spans="1:138" x14ac:dyDescent="0.15">
      <c r="A45" s="380">
        <v>36</v>
      </c>
      <c r="B45" s="385">
        <v>87</v>
      </c>
      <c r="C45" s="384">
        <v>87</v>
      </c>
      <c r="D45" s="384">
        <v>87</v>
      </c>
      <c r="E45" s="384">
        <v>87</v>
      </c>
      <c r="F45" s="384">
        <v>87</v>
      </c>
      <c r="G45" s="384">
        <v>87</v>
      </c>
      <c r="H45" s="384">
        <v>90</v>
      </c>
      <c r="I45" s="384">
        <v>90</v>
      </c>
      <c r="J45" s="384">
        <v>94</v>
      </c>
      <c r="K45" s="384">
        <v>94</v>
      </c>
      <c r="L45" s="384">
        <v>97</v>
      </c>
      <c r="M45" s="384">
        <v>97</v>
      </c>
      <c r="N45" s="384">
        <v>100</v>
      </c>
      <c r="O45" s="384">
        <v>103</v>
      </c>
      <c r="P45" s="384">
        <v>103</v>
      </c>
      <c r="Q45" s="384">
        <v>109</v>
      </c>
      <c r="R45" s="384">
        <v>112</v>
      </c>
      <c r="S45" s="384">
        <v>117</v>
      </c>
      <c r="T45" s="384">
        <v>117</v>
      </c>
      <c r="U45" s="384">
        <v>117</v>
      </c>
      <c r="V45" s="384">
        <v>117</v>
      </c>
      <c r="W45" s="384">
        <v>117</v>
      </c>
      <c r="X45" s="384">
        <v>123</v>
      </c>
      <c r="Y45" s="384">
        <v>129</v>
      </c>
      <c r="Z45" s="384">
        <v>136</v>
      </c>
      <c r="AC45" s="380">
        <v>36</v>
      </c>
      <c r="AD45" s="384">
        <v>87</v>
      </c>
      <c r="AE45" s="384">
        <v>87</v>
      </c>
      <c r="AF45" s="384">
        <v>87</v>
      </c>
      <c r="AG45" s="384">
        <v>87</v>
      </c>
      <c r="AH45" s="384">
        <v>87</v>
      </c>
      <c r="AI45" s="384">
        <v>90</v>
      </c>
      <c r="AJ45" s="384">
        <v>90</v>
      </c>
      <c r="AK45" s="384">
        <v>90</v>
      </c>
      <c r="AL45" s="384">
        <v>94</v>
      </c>
      <c r="AM45" s="384">
        <v>94</v>
      </c>
      <c r="AN45" s="384">
        <v>97</v>
      </c>
      <c r="AO45" s="384">
        <v>97</v>
      </c>
      <c r="AP45" s="384">
        <v>100</v>
      </c>
      <c r="AQ45" s="384">
        <v>103</v>
      </c>
      <c r="AR45" s="384">
        <v>103</v>
      </c>
      <c r="AS45" s="384">
        <v>109</v>
      </c>
      <c r="AT45" s="384">
        <v>112</v>
      </c>
      <c r="AU45" s="384">
        <v>117</v>
      </c>
      <c r="AV45" s="384">
        <v>117</v>
      </c>
      <c r="AW45" s="384">
        <v>117</v>
      </c>
      <c r="AX45" s="384">
        <v>117</v>
      </c>
      <c r="AY45" s="384">
        <v>117</v>
      </c>
      <c r="AZ45" s="384">
        <v>123</v>
      </c>
      <c r="BA45" s="384">
        <v>129</v>
      </c>
      <c r="BB45" s="384">
        <v>136</v>
      </c>
      <c r="BE45" s="380">
        <v>36</v>
      </c>
      <c r="BF45" s="384">
        <v>90</v>
      </c>
      <c r="BG45" s="384">
        <v>90</v>
      </c>
      <c r="BH45" s="384">
        <v>90</v>
      </c>
      <c r="BI45" s="384">
        <v>90</v>
      </c>
      <c r="BJ45" s="384">
        <v>90</v>
      </c>
      <c r="BK45" s="384">
        <v>94</v>
      </c>
      <c r="BL45" s="384">
        <v>94</v>
      </c>
      <c r="BM45" s="384">
        <v>94</v>
      </c>
      <c r="BN45" s="384">
        <v>97</v>
      </c>
      <c r="BO45" s="384">
        <v>97</v>
      </c>
      <c r="BP45" s="384">
        <v>100</v>
      </c>
      <c r="BQ45" s="384">
        <v>100</v>
      </c>
      <c r="BR45" s="384">
        <v>103</v>
      </c>
      <c r="BS45" s="384">
        <v>106</v>
      </c>
      <c r="BT45" s="384">
        <v>106</v>
      </c>
      <c r="BU45" s="384">
        <v>112</v>
      </c>
      <c r="BV45" s="384">
        <v>114</v>
      </c>
      <c r="BW45" s="384">
        <v>120</v>
      </c>
      <c r="BX45" s="384">
        <v>120</v>
      </c>
      <c r="BY45" s="384">
        <v>120</v>
      </c>
      <c r="BZ45" s="384">
        <v>120</v>
      </c>
      <c r="CA45" s="384">
        <v>120</v>
      </c>
      <c r="CB45" s="384">
        <v>126</v>
      </c>
      <c r="CC45" s="384">
        <v>132</v>
      </c>
      <c r="CD45" s="384">
        <v>140</v>
      </c>
      <c r="CG45" s="380">
        <v>36</v>
      </c>
      <c r="CH45" s="384">
        <v>90</v>
      </c>
      <c r="CI45" s="384">
        <v>90</v>
      </c>
      <c r="CJ45" s="384">
        <v>90</v>
      </c>
      <c r="CK45" s="384">
        <v>90</v>
      </c>
      <c r="CL45" s="384">
        <v>94</v>
      </c>
      <c r="CM45" s="384">
        <v>97</v>
      </c>
      <c r="CN45" s="384">
        <v>97</v>
      </c>
      <c r="CO45" s="384">
        <v>97</v>
      </c>
      <c r="CP45" s="384">
        <v>100</v>
      </c>
      <c r="CQ45" s="384">
        <v>100</v>
      </c>
      <c r="CR45" s="384">
        <v>103</v>
      </c>
      <c r="CS45" s="384">
        <v>103</v>
      </c>
      <c r="CT45" s="384">
        <v>106</v>
      </c>
      <c r="CU45" s="384">
        <v>109</v>
      </c>
      <c r="CV45" s="384">
        <v>112</v>
      </c>
      <c r="CW45" s="384">
        <v>114</v>
      </c>
      <c r="CX45" s="384">
        <v>114</v>
      </c>
      <c r="CY45" s="384">
        <v>120</v>
      </c>
      <c r="CZ45" s="384">
        <v>120</v>
      </c>
      <c r="DA45" s="384">
        <v>120</v>
      </c>
      <c r="DB45" s="384">
        <v>123</v>
      </c>
      <c r="DC45" s="384">
        <v>126</v>
      </c>
      <c r="DD45" s="384">
        <v>132</v>
      </c>
      <c r="DE45" s="384">
        <v>136</v>
      </c>
      <c r="DF45" s="384">
        <v>140</v>
      </c>
      <c r="DI45" s="380">
        <v>36</v>
      </c>
      <c r="DJ45" s="384">
        <v>94</v>
      </c>
      <c r="DK45" s="384">
        <v>94</v>
      </c>
      <c r="DL45" s="384">
        <v>97</v>
      </c>
      <c r="DM45" s="384">
        <v>97</v>
      </c>
      <c r="DN45" s="384">
        <v>100</v>
      </c>
      <c r="DO45" s="384">
        <v>100</v>
      </c>
      <c r="DP45" s="384">
        <v>100</v>
      </c>
      <c r="DQ45" s="384">
        <v>103</v>
      </c>
      <c r="DR45" s="384">
        <v>103</v>
      </c>
      <c r="DS45" s="384">
        <v>106</v>
      </c>
      <c r="DT45" s="384">
        <v>106</v>
      </c>
      <c r="DU45" s="384">
        <v>109</v>
      </c>
      <c r="DV45" s="384">
        <v>114</v>
      </c>
      <c r="DW45" s="384">
        <v>117</v>
      </c>
      <c r="DX45" s="384">
        <v>117</v>
      </c>
      <c r="DY45" s="384">
        <v>120</v>
      </c>
      <c r="DZ45" s="384">
        <v>120</v>
      </c>
      <c r="EA45" s="384">
        <v>123</v>
      </c>
      <c r="EB45" s="384">
        <v>126</v>
      </c>
      <c r="EC45" s="384">
        <v>129</v>
      </c>
      <c r="ED45" s="384">
        <v>129</v>
      </c>
      <c r="EE45" s="384">
        <v>132</v>
      </c>
      <c r="EF45" s="384">
        <v>136</v>
      </c>
      <c r="EG45" s="384">
        <v>140</v>
      </c>
      <c r="EH45" s="384">
        <v>144</v>
      </c>
    </row>
    <row r="46" spans="1:138" x14ac:dyDescent="0.15">
      <c r="A46" s="380">
        <v>37</v>
      </c>
      <c r="B46" s="385">
        <v>90</v>
      </c>
      <c r="C46" s="384">
        <v>90</v>
      </c>
      <c r="D46" s="384">
        <v>90</v>
      </c>
      <c r="E46" s="384">
        <v>90</v>
      </c>
      <c r="F46" s="384">
        <v>90</v>
      </c>
      <c r="G46" s="384">
        <v>90</v>
      </c>
      <c r="H46" s="384">
        <v>94</v>
      </c>
      <c r="I46" s="384">
        <v>94</v>
      </c>
      <c r="J46" s="384">
        <v>97</v>
      </c>
      <c r="K46" s="384">
        <v>97</v>
      </c>
      <c r="L46" s="384">
        <v>100</v>
      </c>
      <c r="M46" s="384">
        <v>100</v>
      </c>
      <c r="N46" s="384">
        <v>103</v>
      </c>
      <c r="O46" s="384">
        <v>106</v>
      </c>
      <c r="P46" s="384">
        <v>106</v>
      </c>
      <c r="Q46" s="384">
        <v>112</v>
      </c>
      <c r="R46" s="384">
        <v>114</v>
      </c>
      <c r="S46" s="384">
        <v>120</v>
      </c>
      <c r="T46" s="384">
        <v>120</v>
      </c>
      <c r="U46" s="384">
        <v>120</v>
      </c>
      <c r="V46" s="384">
        <v>120</v>
      </c>
      <c r="W46" s="384">
        <v>120</v>
      </c>
      <c r="X46" s="384">
        <v>126</v>
      </c>
      <c r="Y46" s="384">
        <v>132</v>
      </c>
      <c r="Z46" s="384">
        <v>140</v>
      </c>
      <c r="AC46" s="380">
        <v>37</v>
      </c>
      <c r="AD46" s="384">
        <v>90</v>
      </c>
      <c r="AE46" s="384">
        <v>90</v>
      </c>
      <c r="AF46" s="384">
        <v>90</v>
      </c>
      <c r="AG46" s="384">
        <v>90</v>
      </c>
      <c r="AH46" s="384">
        <v>90</v>
      </c>
      <c r="AI46" s="384">
        <v>94</v>
      </c>
      <c r="AJ46" s="384">
        <v>94</v>
      </c>
      <c r="AK46" s="384">
        <v>94</v>
      </c>
      <c r="AL46" s="384">
        <v>97</v>
      </c>
      <c r="AM46" s="384">
        <v>97</v>
      </c>
      <c r="AN46" s="384">
        <v>100</v>
      </c>
      <c r="AO46" s="384">
        <v>100</v>
      </c>
      <c r="AP46" s="384">
        <v>103</v>
      </c>
      <c r="AQ46" s="384">
        <v>106</v>
      </c>
      <c r="AR46" s="384">
        <v>106</v>
      </c>
      <c r="AS46" s="384">
        <v>112</v>
      </c>
      <c r="AT46" s="384">
        <v>114</v>
      </c>
      <c r="AU46" s="384">
        <v>120</v>
      </c>
      <c r="AV46" s="384">
        <v>120</v>
      </c>
      <c r="AW46" s="384">
        <v>120</v>
      </c>
      <c r="AX46" s="384">
        <v>120</v>
      </c>
      <c r="AY46" s="384">
        <v>120</v>
      </c>
      <c r="AZ46" s="384">
        <v>126</v>
      </c>
      <c r="BA46" s="384">
        <v>132</v>
      </c>
      <c r="BB46" s="384">
        <v>140</v>
      </c>
      <c r="BE46" s="380">
        <v>37</v>
      </c>
      <c r="BF46" s="384">
        <v>94</v>
      </c>
      <c r="BG46" s="384">
        <v>94</v>
      </c>
      <c r="BH46" s="384">
        <v>94</v>
      </c>
      <c r="BI46" s="384">
        <v>94</v>
      </c>
      <c r="BJ46" s="384">
        <v>94</v>
      </c>
      <c r="BK46" s="384">
        <v>97</v>
      </c>
      <c r="BL46" s="384">
        <v>97</v>
      </c>
      <c r="BM46" s="384">
        <v>97</v>
      </c>
      <c r="BN46" s="384">
        <v>100</v>
      </c>
      <c r="BO46" s="384">
        <v>100</v>
      </c>
      <c r="BP46" s="384">
        <v>103</v>
      </c>
      <c r="BQ46" s="384">
        <v>103</v>
      </c>
      <c r="BR46" s="384">
        <v>106</v>
      </c>
      <c r="BS46" s="384">
        <v>109</v>
      </c>
      <c r="BT46" s="384">
        <v>109</v>
      </c>
      <c r="BU46" s="384">
        <v>114</v>
      </c>
      <c r="BV46" s="384">
        <v>117</v>
      </c>
      <c r="BW46" s="384">
        <v>123</v>
      </c>
      <c r="BX46" s="384">
        <v>123</v>
      </c>
      <c r="BY46" s="384">
        <v>123</v>
      </c>
      <c r="BZ46" s="384">
        <v>123</v>
      </c>
      <c r="CA46" s="384">
        <v>123</v>
      </c>
      <c r="CB46" s="384">
        <v>129</v>
      </c>
      <c r="CC46" s="384">
        <v>136</v>
      </c>
      <c r="CD46" s="384">
        <v>144</v>
      </c>
      <c r="CG46" s="380">
        <v>37</v>
      </c>
      <c r="CH46" s="384">
        <v>94</v>
      </c>
      <c r="CI46" s="384">
        <v>94</v>
      </c>
      <c r="CJ46" s="384">
        <v>94</v>
      </c>
      <c r="CK46" s="384">
        <v>94</v>
      </c>
      <c r="CL46" s="384">
        <v>97</v>
      </c>
      <c r="CM46" s="384">
        <v>100</v>
      </c>
      <c r="CN46" s="384">
        <v>100</v>
      </c>
      <c r="CO46" s="384">
        <v>100</v>
      </c>
      <c r="CP46" s="384">
        <v>103</v>
      </c>
      <c r="CQ46" s="384">
        <v>103</v>
      </c>
      <c r="CR46" s="384">
        <v>106</v>
      </c>
      <c r="CS46" s="384">
        <v>106</v>
      </c>
      <c r="CT46" s="384">
        <v>109</v>
      </c>
      <c r="CU46" s="384">
        <v>112</v>
      </c>
      <c r="CV46" s="384">
        <v>114</v>
      </c>
      <c r="CW46" s="384">
        <v>117</v>
      </c>
      <c r="CX46" s="384">
        <v>117</v>
      </c>
      <c r="CY46" s="384">
        <v>123</v>
      </c>
      <c r="CZ46" s="384">
        <v>123</v>
      </c>
      <c r="DA46" s="384">
        <v>123</v>
      </c>
      <c r="DB46" s="384">
        <v>126</v>
      </c>
      <c r="DC46" s="384">
        <v>129</v>
      </c>
      <c r="DD46" s="384">
        <v>136</v>
      </c>
      <c r="DE46" s="384">
        <v>140</v>
      </c>
      <c r="DF46" s="384">
        <v>144</v>
      </c>
      <c r="DI46" s="380">
        <v>37</v>
      </c>
      <c r="DJ46" s="384">
        <v>97</v>
      </c>
      <c r="DK46" s="384">
        <v>97</v>
      </c>
      <c r="DL46" s="384">
        <v>100</v>
      </c>
      <c r="DM46" s="384">
        <v>100</v>
      </c>
      <c r="DN46" s="384">
        <v>103</v>
      </c>
      <c r="DO46" s="384">
        <v>103</v>
      </c>
      <c r="DP46" s="384">
        <v>103</v>
      </c>
      <c r="DQ46" s="384">
        <v>106</v>
      </c>
      <c r="DR46" s="384">
        <v>106</v>
      </c>
      <c r="DS46" s="384">
        <v>109</v>
      </c>
      <c r="DT46" s="384">
        <v>109</v>
      </c>
      <c r="DU46" s="384">
        <v>112</v>
      </c>
      <c r="DV46" s="384">
        <v>117</v>
      </c>
      <c r="DW46" s="384">
        <v>120</v>
      </c>
      <c r="DX46" s="384">
        <v>120</v>
      </c>
      <c r="DY46" s="384">
        <v>123</v>
      </c>
      <c r="DZ46" s="384">
        <v>123</v>
      </c>
      <c r="EA46" s="384">
        <v>126</v>
      </c>
      <c r="EB46" s="384">
        <v>129</v>
      </c>
      <c r="EC46" s="384">
        <v>132</v>
      </c>
      <c r="ED46" s="384">
        <v>132</v>
      </c>
      <c r="EE46" s="384">
        <v>136</v>
      </c>
      <c r="EF46" s="384">
        <v>140</v>
      </c>
      <c r="EG46" s="384">
        <v>144</v>
      </c>
      <c r="EH46" s="384">
        <v>148</v>
      </c>
    </row>
    <row r="47" spans="1:138" x14ac:dyDescent="0.15">
      <c r="A47" s="380">
        <v>38</v>
      </c>
      <c r="B47" s="385">
        <v>94</v>
      </c>
      <c r="C47" s="384">
        <v>94</v>
      </c>
      <c r="D47" s="384">
        <v>94</v>
      </c>
      <c r="E47" s="384">
        <v>94</v>
      </c>
      <c r="F47" s="384">
        <v>94</v>
      </c>
      <c r="G47" s="384">
        <v>94</v>
      </c>
      <c r="H47" s="384">
        <v>97</v>
      </c>
      <c r="I47" s="384">
        <v>97</v>
      </c>
      <c r="J47" s="384">
        <v>100</v>
      </c>
      <c r="K47" s="384">
        <v>100</v>
      </c>
      <c r="L47" s="384">
        <v>103</v>
      </c>
      <c r="M47" s="384">
        <v>103</v>
      </c>
      <c r="N47" s="384">
        <v>106</v>
      </c>
      <c r="O47" s="384">
        <v>109</v>
      </c>
      <c r="P47" s="384">
        <v>109</v>
      </c>
      <c r="Q47" s="384">
        <v>114</v>
      </c>
      <c r="R47" s="384">
        <v>117</v>
      </c>
      <c r="S47" s="384">
        <v>123</v>
      </c>
      <c r="T47" s="384">
        <v>123</v>
      </c>
      <c r="U47" s="384">
        <v>123</v>
      </c>
      <c r="V47" s="384">
        <v>123</v>
      </c>
      <c r="W47" s="384">
        <v>123</v>
      </c>
      <c r="X47" s="384">
        <v>129</v>
      </c>
      <c r="Y47" s="384">
        <v>136</v>
      </c>
      <c r="Z47" s="384">
        <v>144</v>
      </c>
      <c r="AC47" s="380">
        <v>38</v>
      </c>
      <c r="AD47" s="384">
        <v>94</v>
      </c>
      <c r="AE47" s="384">
        <v>94</v>
      </c>
      <c r="AF47" s="384">
        <v>94</v>
      </c>
      <c r="AG47" s="384">
        <v>94</v>
      </c>
      <c r="AH47" s="384">
        <v>94</v>
      </c>
      <c r="AI47" s="384">
        <v>97</v>
      </c>
      <c r="AJ47" s="384">
        <v>97</v>
      </c>
      <c r="AK47" s="384">
        <v>97</v>
      </c>
      <c r="AL47" s="384">
        <v>100</v>
      </c>
      <c r="AM47" s="384">
        <v>100</v>
      </c>
      <c r="AN47" s="384">
        <v>103</v>
      </c>
      <c r="AO47" s="384">
        <v>103</v>
      </c>
      <c r="AP47" s="384">
        <v>106</v>
      </c>
      <c r="AQ47" s="384">
        <v>109</v>
      </c>
      <c r="AR47" s="384">
        <v>109</v>
      </c>
      <c r="AS47" s="384">
        <v>114</v>
      </c>
      <c r="AT47" s="384">
        <v>117</v>
      </c>
      <c r="AU47" s="384">
        <v>123</v>
      </c>
      <c r="AV47" s="384">
        <v>123</v>
      </c>
      <c r="AW47" s="384">
        <v>123</v>
      </c>
      <c r="AX47" s="384">
        <v>123</v>
      </c>
      <c r="AY47" s="384">
        <v>123</v>
      </c>
      <c r="AZ47" s="384">
        <v>129</v>
      </c>
      <c r="BA47" s="384">
        <v>136</v>
      </c>
      <c r="BB47" s="384">
        <v>144</v>
      </c>
      <c r="BE47" s="380">
        <v>38</v>
      </c>
      <c r="BF47" s="384">
        <v>94</v>
      </c>
      <c r="BG47" s="384">
        <v>94</v>
      </c>
      <c r="BH47" s="384">
        <v>94</v>
      </c>
      <c r="BI47" s="384">
        <v>94</v>
      </c>
      <c r="BJ47" s="384">
        <v>94</v>
      </c>
      <c r="BK47" s="384">
        <v>97</v>
      </c>
      <c r="BL47" s="384">
        <v>97</v>
      </c>
      <c r="BM47" s="384">
        <v>97</v>
      </c>
      <c r="BN47" s="384">
        <v>100</v>
      </c>
      <c r="BO47" s="384">
        <v>100</v>
      </c>
      <c r="BP47" s="384">
        <v>103</v>
      </c>
      <c r="BQ47" s="384">
        <v>103</v>
      </c>
      <c r="BR47" s="384">
        <v>106</v>
      </c>
      <c r="BS47" s="384">
        <v>109</v>
      </c>
      <c r="BT47" s="384">
        <v>109</v>
      </c>
      <c r="BU47" s="384">
        <v>114</v>
      </c>
      <c r="BV47" s="384">
        <v>117</v>
      </c>
      <c r="BW47" s="384">
        <v>123</v>
      </c>
      <c r="BX47" s="384">
        <v>123</v>
      </c>
      <c r="BY47" s="384">
        <v>123</v>
      </c>
      <c r="BZ47" s="384">
        <v>123</v>
      </c>
      <c r="CA47" s="384">
        <v>123</v>
      </c>
      <c r="CB47" s="384">
        <v>129</v>
      </c>
      <c r="CC47" s="384">
        <v>136</v>
      </c>
      <c r="CD47" s="384">
        <v>144</v>
      </c>
      <c r="CG47" s="380">
        <v>38</v>
      </c>
      <c r="CH47" s="384">
        <v>97</v>
      </c>
      <c r="CI47" s="384">
        <v>97</v>
      </c>
      <c r="CJ47" s="384">
        <v>97</v>
      </c>
      <c r="CK47" s="384">
        <v>97</v>
      </c>
      <c r="CL47" s="384">
        <v>100</v>
      </c>
      <c r="CM47" s="384">
        <v>103</v>
      </c>
      <c r="CN47" s="384">
        <v>103</v>
      </c>
      <c r="CO47" s="384">
        <v>103</v>
      </c>
      <c r="CP47" s="384">
        <v>106</v>
      </c>
      <c r="CQ47" s="384">
        <v>106</v>
      </c>
      <c r="CR47" s="384">
        <v>109</v>
      </c>
      <c r="CS47" s="384">
        <v>109</v>
      </c>
      <c r="CT47" s="384">
        <v>112</v>
      </c>
      <c r="CU47" s="384">
        <v>114</v>
      </c>
      <c r="CV47" s="384">
        <v>117</v>
      </c>
      <c r="CW47" s="384">
        <v>120</v>
      </c>
      <c r="CX47" s="384">
        <v>120</v>
      </c>
      <c r="CY47" s="384">
        <v>126</v>
      </c>
      <c r="CZ47" s="384">
        <v>126</v>
      </c>
      <c r="DA47" s="384">
        <v>126</v>
      </c>
      <c r="DB47" s="384">
        <v>129</v>
      </c>
      <c r="DC47" s="384">
        <v>132</v>
      </c>
      <c r="DD47" s="384">
        <v>140</v>
      </c>
      <c r="DE47" s="384">
        <v>144</v>
      </c>
      <c r="DF47" s="384">
        <v>148</v>
      </c>
      <c r="DI47" s="380">
        <v>38</v>
      </c>
      <c r="DJ47" s="384">
        <v>97</v>
      </c>
      <c r="DK47" s="384">
        <v>97</v>
      </c>
      <c r="DL47" s="384">
        <v>100</v>
      </c>
      <c r="DM47" s="384">
        <v>100</v>
      </c>
      <c r="DN47" s="384">
        <v>103</v>
      </c>
      <c r="DO47" s="384">
        <v>103</v>
      </c>
      <c r="DP47" s="384">
        <v>103</v>
      </c>
      <c r="DQ47" s="384">
        <v>106</v>
      </c>
      <c r="DR47" s="384">
        <v>106</v>
      </c>
      <c r="DS47" s="384">
        <v>109</v>
      </c>
      <c r="DT47" s="384">
        <v>109</v>
      </c>
      <c r="DU47" s="384">
        <v>112</v>
      </c>
      <c r="DV47" s="384">
        <v>117</v>
      </c>
      <c r="DW47" s="384">
        <v>120</v>
      </c>
      <c r="DX47" s="384">
        <v>120</v>
      </c>
      <c r="DY47" s="384">
        <v>123</v>
      </c>
      <c r="DZ47" s="384">
        <v>123</v>
      </c>
      <c r="EA47" s="384">
        <v>126</v>
      </c>
      <c r="EB47" s="384">
        <v>129</v>
      </c>
      <c r="EC47" s="384">
        <v>132</v>
      </c>
      <c r="ED47" s="384">
        <v>132</v>
      </c>
      <c r="EE47" s="384">
        <v>136</v>
      </c>
      <c r="EF47" s="384">
        <v>140</v>
      </c>
      <c r="EG47" s="384">
        <v>144</v>
      </c>
      <c r="EH47" s="384">
        <v>148</v>
      </c>
    </row>
    <row r="48" spans="1:138" x14ac:dyDescent="0.15">
      <c r="A48" s="380">
        <v>39</v>
      </c>
      <c r="B48" s="385">
        <v>97</v>
      </c>
      <c r="C48" s="384">
        <v>97</v>
      </c>
      <c r="D48" s="384">
        <v>97</v>
      </c>
      <c r="E48" s="384">
        <v>97</v>
      </c>
      <c r="F48" s="384">
        <v>97</v>
      </c>
      <c r="G48" s="384">
        <v>97</v>
      </c>
      <c r="H48" s="384">
        <v>100</v>
      </c>
      <c r="I48" s="384">
        <v>100</v>
      </c>
      <c r="J48" s="384">
        <v>103</v>
      </c>
      <c r="K48" s="384">
        <v>103</v>
      </c>
      <c r="L48" s="384">
        <v>106</v>
      </c>
      <c r="M48" s="384">
        <v>106</v>
      </c>
      <c r="N48" s="384">
        <v>109</v>
      </c>
      <c r="O48" s="384">
        <v>112</v>
      </c>
      <c r="P48" s="384">
        <v>112</v>
      </c>
      <c r="Q48" s="384">
        <v>117</v>
      </c>
      <c r="R48" s="384">
        <v>120</v>
      </c>
      <c r="S48" s="384">
        <v>126</v>
      </c>
      <c r="T48" s="384">
        <v>126</v>
      </c>
      <c r="U48" s="384">
        <v>126</v>
      </c>
      <c r="V48" s="384">
        <v>126</v>
      </c>
      <c r="W48" s="384">
        <v>126</v>
      </c>
      <c r="X48" s="384">
        <v>132</v>
      </c>
      <c r="Y48" s="384">
        <v>140</v>
      </c>
      <c r="Z48" s="384">
        <v>148</v>
      </c>
      <c r="AC48" s="380">
        <v>39</v>
      </c>
      <c r="AD48" s="384">
        <v>97</v>
      </c>
      <c r="AE48" s="384">
        <v>97</v>
      </c>
      <c r="AF48" s="384">
        <v>97</v>
      </c>
      <c r="AG48" s="384">
        <v>97</v>
      </c>
      <c r="AH48" s="384">
        <v>97</v>
      </c>
      <c r="AI48" s="384">
        <v>100</v>
      </c>
      <c r="AJ48" s="384">
        <v>100</v>
      </c>
      <c r="AK48" s="384">
        <v>100</v>
      </c>
      <c r="AL48" s="384">
        <v>103</v>
      </c>
      <c r="AM48" s="384">
        <v>103</v>
      </c>
      <c r="AN48" s="384">
        <v>106</v>
      </c>
      <c r="AO48" s="384">
        <v>106</v>
      </c>
      <c r="AP48" s="384">
        <v>109</v>
      </c>
      <c r="AQ48" s="384">
        <v>112</v>
      </c>
      <c r="AR48" s="384">
        <v>112</v>
      </c>
      <c r="AS48" s="384">
        <v>117</v>
      </c>
      <c r="AT48" s="384">
        <v>120</v>
      </c>
      <c r="AU48" s="384">
        <v>126</v>
      </c>
      <c r="AV48" s="384">
        <v>126</v>
      </c>
      <c r="AW48" s="384">
        <v>126</v>
      </c>
      <c r="AX48" s="384">
        <v>126</v>
      </c>
      <c r="AY48" s="384">
        <v>126</v>
      </c>
      <c r="AZ48" s="384">
        <v>132</v>
      </c>
      <c r="BA48" s="384">
        <v>140</v>
      </c>
      <c r="BB48" s="384">
        <v>148</v>
      </c>
      <c r="BE48" s="380">
        <v>39</v>
      </c>
      <c r="BF48" s="384">
        <v>97</v>
      </c>
      <c r="BG48" s="384">
        <v>97</v>
      </c>
      <c r="BH48" s="384">
        <v>97</v>
      </c>
      <c r="BI48" s="384">
        <v>97</v>
      </c>
      <c r="BJ48" s="384">
        <v>97</v>
      </c>
      <c r="BK48" s="384">
        <v>100</v>
      </c>
      <c r="BL48" s="384">
        <v>100</v>
      </c>
      <c r="BM48" s="384">
        <v>100</v>
      </c>
      <c r="BN48" s="384">
        <v>103</v>
      </c>
      <c r="BO48" s="384">
        <v>103</v>
      </c>
      <c r="BP48" s="384">
        <v>106</v>
      </c>
      <c r="BQ48" s="384">
        <v>106</v>
      </c>
      <c r="BR48" s="384">
        <v>109</v>
      </c>
      <c r="BS48" s="384">
        <v>112</v>
      </c>
      <c r="BT48" s="384">
        <v>112</v>
      </c>
      <c r="BU48" s="384">
        <v>117</v>
      </c>
      <c r="BV48" s="384">
        <v>120</v>
      </c>
      <c r="BW48" s="384">
        <v>126</v>
      </c>
      <c r="BX48" s="384">
        <v>126</v>
      </c>
      <c r="BY48" s="384">
        <v>126</v>
      </c>
      <c r="BZ48" s="384">
        <v>126</v>
      </c>
      <c r="CA48" s="384">
        <v>126</v>
      </c>
      <c r="CB48" s="384">
        <v>132</v>
      </c>
      <c r="CC48" s="384">
        <v>140</v>
      </c>
      <c r="CD48" s="384">
        <v>148</v>
      </c>
      <c r="CG48" s="380">
        <v>39</v>
      </c>
      <c r="CH48" s="384">
        <v>97</v>
      </c>
      <c r="CI48" s="384">
        <v>97</v>
      </c>
      <c r="CJ48" s="384">
        <v>97</v>
      </c>
      <c r="CK48" s="384">
        <v>97</v>
      </c>
      <c r="CL48" s="384">
        <v>100</v>
      </c>
      <c r="CM48" s="384">
        <v>103</v>
      </c>
      <c r="CN48" s="384">
        <v>103</v>
      </c>
      <c r="CO48" s="384">
        <v>103</v>
      </c>
      <c r="CP48" s="384">
        <v>106</v>
      </c>
      <c r="CQ48" s="384">
        <v>106</v>
      </c>
      <c r="CR48" s="384">
        <v>109</v>
      </c>
      <c r="CS48" s="384">
        <v>109</v>
      </c>
      <c r="CT48" s="384">
        <v>112</v>
      </c>
      <c r="CU48" s="384">
        <v>114</v>
      </c>
      <c r="CV48" s="384">
        <v>117</v>
      </c>
      <c r="CW48" s="384">
        <v>120</v>
      </c>
      <c r="CX48" s="384">
        <v>120</v>
      </c>
      <c r="CY48" s="384">
        <v>126</v>
      </c>
      <c r="CZ48" s="384">
        <v>126</v>
      </c>
      <c r="DA48" s="384">
        <v>126</v>
      </c>
      <c r="DB48" s="384">
        <v>129</v>
      </c>
      <c r="DC48" s="384">
        <v>132</v>
      </c>
      <c r="DD48" s="384">
        <v>140</v>
      </c>
      <c r="DE48" s="384">
        <v>144</v>
      </c>
      <c r="DF48" s="384">
        <v>148</v>
      </c>
      <c r="DI48" s="380">
        <v>39</v>
      </c>
      <c r="DJ48" s="384">
        <v>100</v>
      </c>
      <c r="DK48" s="384">
        <v>100</v>
      </c>
      <c r="DL48" s="384">
        <v>103</v>
      </c>
      <c r="DM48" s="384">
        <v>103</v>
      </c>
      <c r="DN48" s="384">
        <v>106</v>
      </c>
      <c r="DO48" s="384">
        <v>106</v>
      </c>
      <c r="DP48" s="384">
        <v>106</v>
      </c>
      <c r="DQ48" s="384">
        <v>109</v>
      </c>
      <c r="DR48" s="384">
        <v>109</v>
      </c>
      <c r="DS48" s="384">
        <v>112</v>
      </c>
      <c r="DT48" s="384">
        <v>112</v>
      </c>
      <c r="DU48" s="384">
        <v>114</v>
      </c>
      <c r="DV48" s="384">
        <v>120</v>
      </c>
      <c r="DW48" s="384">
        <v>123</v>
      </c>
      <c r="DX48" s="384">
        <v>123</v>
      </c>
      <c r="DY48" s="384">
        <v>126</v>
      </c>
      <c r="DZ48" s="384">
        <v>126</v>
      </c>
      <c r="EA48" s="384">
        <v>129</v>
      </c>
      <c r="EB48" s="384">
        <v>132</v>
      </c>
      <c r="EC48" s="384">
        <v>136</v>
      </c>
      <c r="ED48" s="384">
        <v>136</v>
      </c>
      <c r="EE48" s="384">
        <v>140</v>
      </c>
      <c r="EF48" s="384">
        <v>144</v>
      </c>
      <c r="EG48" s="384">
        <v>148</v>
      </c>
      <c r="EH48" s="384">
        <v>152</v>
      </c>
    </row>
    <row r="49" spans="1:138" x14ac:dyDescent="0.15">
      <c r="A49" s="380">
        <v>40</v>
      </c>
      <c r="B49" s="385">
        <v>100</v>
      </c>
      <c r="C49" s="384">
        <v>100</v>
      </c>
      <c r="D49" s="384">
        <v>100</v>
      </c>
      <c r="E49" s="384">
        <v>100</v>
      </c>
      <c r="F49" s="384">
        <v>100</v>
      </c>
      <c r="G49" s="384">
        <v>100</v>
      </c>
      <c r="H49" s="384">
        <v>103</v>
      </c>
      <c r="I49" s="384">
        <v>103</v>
      </c>
      <c r="J49" s="384">
        <v>106</v>
      </c>
      <c r="K49" s="384">
        <v>106</v>
      </c>
      <c r="L49" s="384">
        <v>109</v>
      </c>
      <c r="M49" s="384">
        <v>109</v>
      </c>
      <c r="N49" s="384">
        <v>112</v>
      </c>
      <c r="O49" s="384">
        <v>114</v>
      </c>
      <c r="P49" s="384">
        <v>114</v>
      </c>
      <c r="Q49" s="384">
        <v>120</v>
      </c>
      <c r="R49" s="384">
        <v>123</v>
      </c>
      <c r="S49" s="384">
        <v>129</v>
      </c>
      <c r="T49" s="384">
        <v>129</v>
      </c>
      <c r="U49" s="384">
        <v>129</v>
      </c>
      <c r="V49" s="384">
        <v>129</v>
      </c>
      <c r="W49" s="384">
        <v>129</v>
      </c>
      <c r="X49" s="384">
        <v>136</v>
      </c>
      <c r="Y49" s="384">
        <v>144</v>
      </c>
      <c r="Z49" s="384">
        <v>152</v>
      </c>
      <c r="AC49" s="380">
        <v>40</v>
      </c>
      <c r="AD49" s="384">
        <v>100</v>
      </c>
      <c r="AE49" s="384">
        <v>100</v>
      </c>
      <c r="AF49" s="384">
        <v>100</v>
      </c>
      <c r="AG49" s="384">
        <v>100</v>
      </c>
      <c r="AH49" s="384">
        <v>100</v>
      </c>
      <c r="AI49" s="384">
        <v>103</v>
      </c>
      <c r="AJ49" s="384">
        <v>103</v>
      </c>
      <c r="AK49" s="384">
        <v>103</v>
      </c>
      <c r="AL49" s="384">
        <v>106</v>
      </c>
      <c r="AM49" s="384">
        <v>106</v>
      </c>
      <c r="AN49" s="384">
        <v>109</v>
      </c>
      <c r="AO49" s="384">
        <v>109</v>
      </c>
      <c r="AP49" s="384">
        <v>112</v>
      </c>
      <c r="AQ49" s="384">
        <v>114</v>
      </c>
      <c r="AR49" s="384">
        <v>114</v>
      </c>
      <c r="AS49" s="384">
        <v>120</v>
      </c>
      <c r="AT49" s="384">
        <v>123</v>
      </c>
      <c r="AU49" s="384">
        <v>129</v>
      </c>
      <c r="AV49" s="384">
        <v>129</v>
      </c>
      <c r="AW49" s="384">
        <v>129</v>
      </c>
      <c r="AX49" s="384">
        <v>129</v>
      </c>
      <c r="AY49" s="384">
        <v>129</v>
      </c>
      <c r="AZ49" s="384">
        <v>136</v>
      </c>
      <c r="BA49" s="384">
        <v>144</v>
      </c>
      <c r="BB49" s="384">
        <v>152</v>
      </c>
      <c r="BE49" s="380">
        <v>40</v>
      </c>
      <c r="BF49" s="384">
        <v>100</v>
      </c>
      <c r="BG49" s="384">
        <v>100</v>
      </c>
      <c r="BH49" s="384">
        <v>100</v>
      </c>
      <c r="BI49" s="384">
        <v>100</v>
      </c>
      <c r="BJ49" s="384">
        <v>100</v>
      </c>
      <c r="BK49" s="384">
        <v>103</v>
      </c>
      <c r="BL49" s="384">
        <v>103</v>
      </c>
      <c r="BM49" s="384">
        <v>103</v>
      </c>
      <c r="BN49" s="384">
        <v>106</v>
      </c>
      <c r="BO49" s="384">
        <v>106</v>
      </c>
      <c r="BP49" s="384">
        <v>109</v>
      </c>
      <c r="BQ49" s="384">
        <v>109</v>
      </c>
      <c r="BR49" s="384">
        <v>112</v>
      </c>
      <c r="BS49" s="384">
        <v>114</v>
      </c>
      <c r="BT49" s="384">
        <v>114</v>
      </c>
      <c r="BU49" s="384">
        <v>120</v>
      </c>
      <c r="BV49" s="384">
        <v>123</v>
      </c>
      <c r="BW49" s="384">
        <v>129</v>
      </c>
      <c r="BX49" s="384">
        <v>129</v>
      </c>
      <c r="BY49" s="384">
        <v>129</v>
      </c>
      <c r="BZ49" s="384">
        <v>129</v>
      </c>
      <c r="CA49" s="384">
        <v>129</v>
      </c>
      <c r="CB49" s="384">
        <v>136</v>
      </c>
      <c r="CC49" s="384">
        <v>144</v>
      </c>
      <c r="CD49" s="384">
        <v>152</v>
      </c>
      <c r="CG49" s="380">
        <v>40</v>
      </c>
      <c r="CH49" s="384">
        <v>100</v>
      </c>
      <c r="CI49" s="384">
        <v>100</v>
      </c>
      <c r="CJ49" s="384">
        <v>100</v>
      </c>
      <c r="CK49" s="384">
        <v>100</v>
      </c>
      <c r="CL49" s="384">
        <v>103</v>
      </c>
      <c r="CM49" s="384">
        <v>106</v>
      </c>
      <c r="CN49" s="384">
        <v>106</v>
      </c>
      <c r="CO49" s="384">
        <v>106</v>
      </c>
      <c r="CP49" s="384">
        <v>109</v>
      </c>
      <c r="CQ49" s="384">
        <v>109</v>
      </c>
      <c r="CR49" s="384">
        <v>112</v>
      </c>
      <c r="CS49" s="384">
        <v>112</v>
      </c>
      <c r="CT49" s="384">
        <v>114</v>
      </c>
      <c r="CU49" s="384">
        <v>117</v>
      </c>
      <c r="CV49" s="384">
        <v>120</v>
      </c>
      <c r="CW49" s="384">
        <v>123</v>
      </c>
      <c r="CX49" s="384">
        <v>123</v>
      </c>
      <c r="CY49" s="384">
        <v>129</v>
      </c>
      <c r="CZ49" s="384">
        <v>129</v>
      </c>
      <c r="DA49" s="384">
        <v>129</v>
      </c>
      <c r="DB49" s="384">
        <v>132</v>
      </c>
      <c r="DC49" s="384">
        <v>136</v>
      </c>
      <c r="DD49" s="384">
        <v>144</v>
      </c>
      <c r="DE49" s="384">
        <v>148</v>
      </c>
      <c r="DF49" s="384">
        <v>152</v>
      </c>
      <c r="DI49" s="380">
        <v>40</v>
      </c>
      <c r="DJ49" s="384">
        <v>100</v>
      </c>
      <c r="DK49" s="384">
        <v>100</v>
      </c>
      <c r="DL49" s="384">
        <v>103</v>
      </c>
      <c r="DM49" s="384">
        <v>103</v>
      </c>
      <c r="DN49" s="384">
        <v>106</v>
      </c>
      <c r="DO49" s="384">
        <v>106</v>
      </c>
      <c r="DP49" s="384">
        <v>106</v>
      </c>
      <c r="DQ49" s="384">
        <v>109</v>
      </c>
      <c r="DR49" s="384">
        <v>109</v>
      </c>
      <c r="DS49" s="384">
        <v>112</v>
      </c>
      <c r="DT49" s="384">
        <v>112</v>
      </c>
      <c r="DU49" s="384">
        <v>114</v>
      </c>
      <c r="DV49" s="384">
        <v>120</v>
      </c>
      <c r="DW49" s="384">
        <v>123</v>
      </c>
      <c r="DX49" s="384">
        <v>123</v>
      </c>
      <c r="DY49" s="384">
        <v>126</v>
      </c>
      <c r="DZ49" s="384">
        <v>126</v>
      </c>
      <c r="EA49" s="384">
        <v>129</v>
      </c>
      <c r="EB49" s="384">
        <v>132</v>
      </c>
      <c r="EC49" s="384">
        <v>136</v>
      </c>
      <c r="ED49" s="384">
        <v>136</v>
      </c>
      <c r="EE49" s="384">
        <v>140</v>
      </c>
      <c r="EF49" s="384">
        <v>144</v>
      </c>
      <c r="EG49" s="384">
        <v>148</v>
      </c>
      <c r="EH49" s="384">
        <v>152</v>
      </c>
    </row>
    <row r="51" spans="1:138" x14ac:dyDescent="0.15">
      <c r="A51" s="377" t="s">
        <v>412</v>
      </c>
      <c r="B51" s="397">
        <f>'Standard Tests'!$B$10</f>
        <v>30</v>
      </c>
      <c r="E51" s="377" t="s">
        <v>77</v>
      </c>
      <c r="F51" s="377">
        <f>INDEX(B9:Z49,MATCH(B51,A9:A49,0),MATCH(B52,B8:Z8,0))</f>
        <v>109</v>
      </c>
      <c r="AC51" s="377" t="s">
        <v>412</v>
      </c>
      <c r="AD51" s="377">
        <f>'Standard Tests'!$B$10</f>
        <v>30</v>
      </c>
      <c r="AG51" s="377" t="s">
        <v>77</v>
      </c>
      <c r="AH51" s="377">
        <f>INDEX(AD9:BB49,MATCH(AD51,AC9:AC49,0),MATCH(AD52,AD8:BB8,0))</f>
        <v>109</v>
      </c>
      <c r="BE51" s="377" t="s">
        <v>412</v>
      </c>
      <c r="BF51" s="377">
        <f>'Standard Tests'!$B$10</f>
        <v>30</v>
      </c>
      <c r="BI51" s="377" t="s">
        <v>77</v>
      </c>
      <c r="BJ51" s="377">
        <f>INDEX(BF9:CD49,MATCH(BF51,BE9:BE49,0),MATCH(BF52,BF8:CD8,0))</f>
        <v>109</v>
      </c>
      <c r="CG51" s="377" t="s">
        <v>412</v>
      </c>
      <c r="CH51" s="377">
        <f>'Standard Tests'!$B$10</f>
        <v>30</v>
      </c>
      <c r="CK51" s="377" t="s">
        <v>77</v>
      </c>
      <c r="CL51" s="377">
        <f>INDEX(CH9:DF49,MATCH(CH51,CG9:CG49,0),MATCH(CH52,CH8:DF8,0))</f>
        <v>109</v>
      </c>
      <c r="DI51" s="377" t="s">
        <v>412</v>
      </c>
      <c r="DJ51" s="377">
        <f>'Standard Tests'!$B$10</f>
        <v>30</v>
      </c>
      <c r="DM51" s="377" t="s">
        <v>77</v>
      </c>
      <c r="DN51" s="377">
        <f>INDEX(DJ9:EH49,MATCH(DJ51,DI9:DI49,0),MATCH(DJ52,DJ8:EH8,0))</f>
        <v>114</v>
      </c>
    </row>
    <row r="52" spans="1:138" x14ac:dyDescent="0.15">
      <c r="A52" s="377" t="s">
        <v>413</v>
      </c>
      <c r="B52" s="397">
        <f>'Standard Tests'!$B$11</f>
        <v>17</v>
      </c>
      <c r="F52" s="399">
        <f>INDEX(B9:Z49,MATCH(B51,A9:A49,0),MATCH(B52,B8:Z8,0))</f>
        <v>109</v>
      </c>
      <c r="J52" s="399">
        <f>INDEX(B9:Z49,MATCH(B52,B8:Z8,0),10)</f>
        <v>57</v>
      </c>
      <c r="AC52" s="377" t="s">
        <v>413</v>
      </c>
      <c r="AD52" s="377">
        <f>'Standard Tests'!$B$11</f>
        <v>17</v>
      </c>
      <c r="BE52" s="377" t="s">
        <v>413</v>
      </c>
      <c r="BF52" s="377">
        <f>'Standard Tests'!$B$11</f>
        <v>17</v>
      </c>
      <c r="CG52" s="377" t="s">
        <v>413</v>
      </c>
      <c r="CH52" s="377">
        <f>'Standard Tests'!$B$11</f>
        <v>17</v>
      </c>
      <c r="DI52" s="377" t="s">
        <v>413</v>
      </c>
      <c r="DJ52" s="377">
        <f>'Standard Tests'!$B$11</f>
        <v>17</v>
      </c>
    </row>
    <row r="54" spans="1:138" x14ac:dyDescent="0.15">
      <c r="B54" s="376" t="s">
        <v>419</v>
      </c>
      <c r="AC54" s="386"/>
      <c r="AD54" s="387" t="s">
        <v>419</v>
      </c>
      <c r="AE54" s="386"/>
      <c r="AF54" s="386"/>
      <c r="AG54" s="386"/>
      <c r="AH54" s="386"/>
      <c r="AI54" s="386"/>
      <c r="AJ54" s="386"/>
      <c r="AK54" s="386"/>
      <c r="AL54" s="386"/>
      <c r="AM54" s="386"/>
      <c r="AN54" s="386"/>
      <c r="AO54" s="386"/>
      <c r="AP54" s="386"/>
      <c r="AQ54" s="386"/>
      <c r="AR54" s="386"/>
      <c r="AS54" s="386"/>
      <c r="AT54" s="386"/>
      <c r="AU54" s="386"/>
      <c r="AV54" s="386"/>
      <c r="AW54" s="386"/>
      <c r="AX54" s="386"/>
      <c r="BF54" s="376" t="s">
        <v>419</v>
      </c>
      <c r="CH54" s="376" t="s">
        <v>419</v>
      </c>
      <c r="DJ54" s="376" t="s">
        <v>419</v>
      </c>
    </row>
    <row r="55" spans="1:138" x14ac:dyDescent="0.15">
      <c r="A55" s="388" t="s">
        <v>414</v>
      </c>
      <c r="B55" s="380">
        <v>0</v>
      </c>
      <c r="C55" s="380">
        <v>1</v>
      </c>
      <c r="D55" s="380">
        <v>2</v>
      </c>
      <c r="E55" s="389">
        <v>3</v>
      </c>
      <c r="F55" s="389">
        <v>4</v>
      </c>
      <c r="G55" s="389">
        <v>5</v>
      </c>
      <c r="H55" s="380">
        <v>6</v>
      </c>
      <c r="I55" s="389">
        <v>7</v>
      </c>
      <c r="J55" s="380">
        <v>8</v>
      </c>
      <c r="K55" s="389">
        <v>9</v>
      </c>
      <c r="L55" s="380">
        <v>10</v>
      </c>
      <c r="M55" s="380">
        <v>11</v>
      </c>
      <c r="N55" s="380">
        <v>12</v>
      </c>
      <c r="O55" s="389">
        <v>13</v>
      </c>
      <c r="P55" s="389">
        <v>14</v>
      </c>
      <c r="Q55" s="389">
        <v>15</v>
      </c>
      <c r="R55" s="380">
        <v>16</v>
      </c>
      <c r="S55" s="389">
        <v>17</v>
      </c>
      <c r="T55" s="380">
        <v>18</v>
      </c>
      <c r="U55" s="389">
        <v>19</v>
      </c>
      <c r="V55" s="380">
        <v>20</v>
      </c>
      <c r="AC55" s="381" t="s">
        <v>414</v>
      </c>
      <c r="AD55" s="380">
        <v>0</v>
      </c>
      <c r="AE55" s="380">
        <v>1</v>
      </c>
      <c r="AF55" s="380">
        <v>2</v>
      </c>
      <c r="AG55" s="380">
        <v>3</v>
      </c>
      <c r="AH55" s="380">
        <v>4</v>
      </c>
      <c r="AI55" s="380">
        <v>5</v>
      </c>
      <c r="AJ55" s="380">
        <v>6</v>
      </c>
      <c r="AK55" s="380">
        <v>7</v>
      </c>
      <c r="AL55" s="380">
        <v>8</v>
      </c>
      <c r="AM55" s="380">
        <v>9</v>
      </c>
      <c r="AN55" s="380">
        <v>10</v>
      </c>
      <c r="AO55" s="380">
        <v>11</v>
      </c>
      <c r="AP55" s="380">
        <v>12</v>
      </c>
      <c r="AQ55" s="380">
        <v>13</v>
      </c>
      <c r="AR55" s="380">
        <v>14</v>
      </c>
      <c r="AS55" s="380">
        <v>15</v>
      </c>
      <c r="AT55" s="380">
        <v>16</v>
      </c>
      <c r="AU55" s="380">
        <v>17</v>
      </c>
      <c r="AV55" s="380">
        <v>18</v>
      </c>
      <c r="AW55" s="380">
        <v>19</v>
      </c>
      <c r="AX55" s="380">
        <v>20</v>
      </c>
      <c r="BE55" s="381" t="s">
        <v>414</v>
      </c>
      <c r="BF55" s="380">
        <v>0</v>
      </c>
      <c r="BG55" s="380">
        <v>1</v>
      </c>
      <c r="BH55" s="380">
        <v>2</v>
      </c>
      <c r="BI55" s="380">
        <v>3</v>
      </c>
      <c r="BJ55" s="380">
        <v>4</v>
      </c>
      <c r="BK55" s="380">
        <v>5</v>
      </c>
      <c r="BL55" s="380">
        <v>6</v>
      </c>
      <c r="BM55" s="380">
        <v>7</v>
      </c>
      <c r="BN55" s="380">
        <v>8</v>
      </c>
      <c r="BO55" s="380">
        <v>9</v>
      </c>
      <c r="BP55" s="380">
        <v>10</v>
      </c>
      <c r="BQ55" s="380">
        <v>11</v>
      </c>
      <c r="BR55" s="380">
        <v>12</v>
      </c>
      <c r="BS55" s="380">
        <v>13</v>
      </c>
      <c r="BT55" s="380">
        <v>14</v>
      </c>
      <c r="BU55" s="380">
        <v>15</v>
      </c>
      <c r="BV55" s="380">
        <v>16</v>
      </c>
      <c r="BW55" s="380">
        <v>17</v>
      </c>
      <c r="BX55" s="380">
        <v>18</v>
      </c>
      <c r="BY55" s="380">
        <v>19</v>
      </c>
      <c r="BZ55" s="380">
        <v>20</v>
      </c>
      <c r="CG55" s="388" t="s">
        <v>414</v>
      </c>
      <c r="CH55" s="380">
        <v>0</v>
      </c>
      <c r="CI55" s="380">
        <v>1</v>
      </c>
      <c r="CJ55" s="380">
        <v>2</v>
      </c>
      <c r="CK55" s="389">
        <v>3</v>
      </c>
      <c r="CL55" s="389">
        <v>4</v>
      </c>
      <c r="CM55" s="389">
        <v>5</v>
      </c>
      <c r="CN55" s="380">
        <v>6</v>
      </c>
      <c r="CO55" s="389">
        <v>7</v>
      </c>
      <c r="CP55" s="380">
        <v>8</v>
      </c>
      <c r="CQ55" s="389">
        <v>9</v>
      </c>
      <c r="CR55" s="380">
        <v>10</v>
      </c>
      <c r="CS55" s="380">
        <v>11</v>
      </c>
      <c r="CT55" s="380">
        <v>12</v>
      </c>
      <c r="CU55" s="389">
        <v>13</v>
      </c>
      <c r="CV55" s="389">
        <v>14</v>
      </c>
      <c r="CW55" s="389">
        <v>15</v>
      </c>
      <c r="CX55" s="380">
        <v>16</v>
      </c>
      <c r="CY55" s="389">
        <v>17</v>
      </c>
      <c r="CZ55" s="380">
        <v>18</v>
      </c>
      <c r="DA55" s="389">
        <v>19</v>
      </c>
      <c r="DB55" s="380">
        <v>20</v>
      </c>
      <c r="DI55" s="381" t="s">
        <v>414</v>
      </c>
      <c r="DJ55" s="380">
        <v>0</v>
      </c>
      <c r="DK55" s="380">
        <v>1</v>
      </c>
      <c r="DL55" s="380">
        <v>2</v>
      </c>
      <c r="DM55" s="380">
        <v>3</v>
      </c>
      <c r="DN55" s="380">
        <v>4</v>
      </c>
      <c r="DO55" s="380">
        <v>5</v>
      </c>
      <c r="DP55" s="380">
        <v>6</v>
      </c>
      <c r="DQ55" s="380">
        <v>7</v>
      </c>
      <c r="DR55" s="380">
        <v>8</v>
      </c>
      <c r="DS55" s="380">
        <v>9</v>
      </c>
      <c r="DT55" s="380">
        <v>10</v>
      </c>
      <c r="DU55" s="380">
        <v>11</v>
      </c>
      <c r="DV55" s="380">
        <v>12</v>
      </c>
      <c r="DW55" s="380">
        <v>13</v>
      </c>
      <c r="DX55" s="380">
        <v>14</v>
      </c>
      <c r="DY55" s="380">
        <v>15</v>
      </c>
      <c r="DZ55" s="380">
        <v>16</v>
      </c>
      <c r="EA55" s="380">
        <v>17</v>
      </c>
      <c r="EB55" s="380">
        <v>18</v>
      </c>
      <c r="EC55" s="380">
        <v>19</v>
      </c>
      <c r="ED55" s="380">
        <v>20</v>
      </c>
    </row>
    <row r="56" spans="1:138" x14ac:dyDescent="0.15">
      <c r="A56" s="390">
        <v>0</v>
      </c>
      <c r="B56" s="391">
        <v>50</v>
      </c>
      <c r="C56" s="391">
        <v>50</v>
      </c>
      <c r="D56" s="391">
        <v>50</v>
      </c>
      <c r="E56" s="391">
        <v>50</v>
      </c>
      <c r="F56" s="391">
        <v>50</v>
      </c>
      <c r="G56" s="391">
        <v>50</v>
      </c>
      <c r="H56" s="391">
        <v>53</v>
      </c>
      <c r="I56" s="391">
        <v>53</v>
      </c>
      <c r="J56" s="391">
        <v>56</v>
      </c>
      <c r="K56" s="391">
        <v>58</v>
      </c>
      <c r="L56" s="391">
        <v>60</v>
      </c>
      <c r="M56" s="391">
        <v>60</v>
      </c>
      <c r="N56" s="391">
        <v>62</v>
      </c>
      <c r="O56" s="391">
        <v>64</v>
      </c>
      <c r="P56" s="391">
        <v>64</v>
      </c>
      <c r="Q56" s="391">
        <v>66</v>
      </c>
      <c r="R56" s="391">
        <v>69</v>
      </c>
      <c r="S56" s="391">
        <v>72</v>
      </c>
      <c r="T56" s="391">
        <v>78</v>
      </c>
      <c r="U56" s="391">
        <v>81</v>
      </c>
      <c r="V56" s="391">
        <v>84</v>
      </c>
      <c r="AC56" s="380">
        <v>0</v>
      </c>
      <c r="AD56" s="384">
        <v>50</v>
      </c>
      <c r="AE56" s="384">
        <v>50</v>
      </c>
      <c r="AF56" s="384">
        <v>50</v>
      </c>
      <c r="AG56" s="384">
        <v>50</v>
      </c>
      <c r="AH56" s="384">
        <v>50</v>
      </c>
      <c r="AI56" s="384">
        <v>50</v>
      </c>
      <c r="AJ56" s="384">
        <v>53</v>
      </c>
      <c r="AK56" s="384">
        <v>53</v>
      </c>
      <c r="AL56" s="384">
        <v>56</v>
      </c>
      <c r="AM56" s="384">
        <v>58</v>
      </c>
      <c r="AN56" s="384">
        <v>60</v>
      </c>
      <c r="AO56" s="384">
        <v>60</v>
      </c>
      <c r="AP56" s="384">
        <v>62</v>
      </c>
      <c r="AQ56" s="384">
        <v>64</v>
      </c>
      <c r="AR56" s="384">
        <v>64</v>
      </c>
      <c r="AS56" s="384">
        <v>66</v>
      </c>
      <c r="AT56" s="384">
        <v>69</v>
      </c>
      <c r="AU56" s="384">
        <v>72</v>
      </c>
      <c r="AV56" s="384">
        <v>78</v>
      </c>
      <c r="AW56" s="384">
        <v>81</v>
      </c>
      <c r="AX56" s="384">
        <v>84</v>
      </c>
      <c r="BE56" s="380">
        <v>0</v>
      </c>
      <c r="BF56" s="384">
        <v>50</v>
      </c>
      <c r="BG56" s="384">
        <v>50</v>
      </c>
      <c r="BH56" s="384">
        <v>50</v>
      </c>
      <c r="BI56" s="384">
        <v>50</v>
      </c>
      <c r="BJ56" s="384">
        <v>50</v>
      </c>
      <c r="BK56" s="384">
        <v>50</v>
      </c>
      <c r="BL56" s="384">
        <v>53</v>
      </c>
      <c r="BM56" s="384">
        <v>56</v>
      </c>
      <c r="BN56" s="384">
        <v>56</v>
      </c>
      <c r="BO56" s="384">
        <v>58</v>
      </c>
      <c r="BP56" s="384">
        <v>60</v>
      </c>
      <c r="BQ56" s="384">
        <v>60</v>
      </c>
      <c r="BR56" s="384">
        <v>62</v>
      </c>
      <c r="BS56" s="384">
        <v>64</v>
      </c>
      <c r="BT56" s="384">
        <v>64</v>
      </c>
      <c r="BU56" s="384">
        <v>66</v>
      </c>
      <c r="BV56" s="384">
        <v>69</v>
      </c>
      <c r="BW56" s="384">
        <v>72</v>
      </c>
      <c r="BX56" s="384">
        <v>78</v>
      </c>
      <c r="BY56" s="384">
        <v>81</v>
      </c>
      <c r="BZ56" s="384">
        <v>84</v>
      </c>
      <c r="CG56" s="390">
        <v>0</v>
      </c>
      <c r="CH56" s="391">
        <v>50</v>
      </c>
      <c r="CI56" s="391">
        <v>50</v>
      </c>
      <c r="CJ56" s="391">
        <v>50</v>
      </c>
      <c r="CK56" s="391">
        <v>50</v>
      </c>
      <c r="CL56" s="391">
        <v>50</v>
      </c>
      <c r="CM56" s="391">
        <v>50</v>
      </c>
      <c r="CN56" s="391">
        <v>53</v>
      </c>
      <c r="CO56" s="391">
        <v>56</v>
      </c>
      <c r="CP56" s="391">
        <v>58</v>
      </c>
      <c r="CQ56" s="391">
        <v>58</v>
      </c>
      <c r="CR56" s="391">
        <v>60</v>
      </c>
      <c r="CS56" s="391">
        <v>60</v>
      </c>
      <c r="CT56" s="391">
        <v>62</v>
      </c>
      <c r="CU56" s="391">
        <v>64</v>
      </c>
      <c r="CV56" s="391">
        <v>64</v>
      </c>
      <c r="CW56" s="391">
        <v>66</v>
      </c>
      <c r="CX56" s="391">
        <v>69</v>
      </c>
      <c r="CY56" s="391">
        <v>72</v>
      </c>
      <c r="CZ56" s="391">
        <v>78</v>
      </c>
      <c r="DA56" s="391">
        <v>81</v>
      </c>
      <c r="DB56" s="391">
        <v>84</v>
      </c>
      <c r="DI56" s="380">
        <v>0</v>
      </c>
      <c r="DJ56" s="384">
        <v>50</v>
      </c>
      <c r="DK56" s="384">
        <v>50</v>
      </c>
      <c r="DL56" s="384">
        <v>50</v>
      </c>
      <c r="DM56" s="384">
        <v>50</v>
      </c>
      <c r="DN56" s="384">
        <v>50</v>
      </c>
      <c r="DO56" s="384">
        <v>53</v>
      </c>
      <c r="DP56" s="384">
        <v>53</v>
      </c>
      <c r="DQ56" s="384">
        <v>56</v>
      </c>
      <c r="DR56" s="384">
        <v>58</v>
      </c>
      <c r="DS56" s="384">
        <v>58</v>
      </c>
      <c r="DT56" s="384">
        <v>60</v>
      </c>
      <c r="DU56" s="384">
        <v>60</v>
      </c>
      <c r="DV56" s="384">
        <v>62</v>
      </c>
      <c r="DW56" s="384">
        <v>64</v>
      </c>
      <c r="DX56" s="384">
        <v>64</v>
      </c>
      <c r="DY56" s="384">
        <v>69</v>
      </c>
      <c r="DZ56" s="384">
        <v>72</v>
      </c>
      <c r="EA56" s="384">
        <v>78</v>
      </c>
      <c r="EB56" s="384">
        <v>81</v>
      </c>
      <c r="EC56" s="384">
        <v>84</v>
      </c>
      <c r="ED56" s="384">
        <v>87</v>
      </c>
    </row>
    <row r="57" spans="1:138" x14ac:dyDescent="0.15">
      <c r="A57" s="390">
        <v>1</v>
      </c>
      <c r="B57" s="391">
        <v>50</v>
      </c>
      <c r="C57" s="391">
        <v>50</v>
      </c>
      <c r="D57" s="391">
        <v>50</v>
      </c>
      <c r="E57" s="391">
        <v>50</v>
      </c>
      <c r="F57" s="391">
        <v>50</v>
      </c>
      <c r="G57" s="391">
        <v>50</v>
      </c>
      <c r="H57" s="391">
        <v>53</v>
      </c>
      <c r="I57" s="391">
        <v>53</v>
      </c>
      <c r="J57" s="391">
        <v>56</v>
      </c>
      <c r="K57" s="391">
        <v>58</v>
      </c>
      <c r="L57" s="391">
        <v>60</v>
      </c>
      <c r="M57" s="391">
        <v>60</v>
      </c>
      <c r="N57" s="391">
        <v>62</v>
      </c>
      <c r="O57" s="391">
        <v>64</v>
      </c>
      <c r="P57" s="391">
        <v>64</v>
      </c>
      <c r="Q57" s="391">
        <v>66</v>
      </c>
      <c r="R57" s="391">
        <v>69</v>
      </c>
      <c r="S57" s="391">
        <v>72</v>
      </c>
      <c r="T57" s="391">
        <v>78</v>
      </c>
      <c r="U57" s="391">
        <v>81</v>
      </c>
      <c r="V57" s="391">
        <v>84</v>
      </c>
      <c r="AC57" s="380">
        <v>1</v>
      </c>
      <c r="AD57" s="384">
        <v>50</v>
      </c>
      <c r="AE57" s="384">
        <v>50</v>
      </c>
      <c r="AF57" s="384">
        <v>50</v>
      </c>
      <c r="AG57" s="384">
        <v>50</v>
      </c>
      <c r="AH57" s="384">
        <v>50</v>
      </c>
      <c r="AI57" s="384">
        <v>50</v>
      </c>
      <c r="AJ57" s="384">
        <v>53</v>
      </c>
      <c r="AK57" s="384">
        <v>53</v>
      </c>
      <c r="AL57" s="384">
        <v>56</v>
      </c>
      <c r="AM57" s="384">
        <v>58</v>
      </c>
      <c r="AN57" s="384">
        <v>60</v>
      </c>
      <c r="AO57" s="384">
        <v>60</v>
      </c>
      <c r="AP57" s="384">
        <v>62</v>
      </c>
      <c r="AQ57" s="384">
        <v>64</v>
      </c>
      <c r="AR57" s="384">
        <v>64</v>
      </c>
      <c r="AS57" s="384">
        <v>66</v>
      </c>
      <c r="AT57" s="384">
        <v>69</v>
      </c>
      <c r="AU57" s="384">
        <v>72</v>
      </c>
      <c r="AV57" s="384">
        <v>78</v>
      </c>
      <c r="AW57" s="384">
        <v>81</v>
      </c>
      <c r="AX57" s="384">
        <v>84</v>
      </c>
      <c r="BE57" s="380">
        <v>1</v>
      </c>
      <c r="BF57" s="384">
        <v>50</v>
      </c>
      <c r="BG57" s="384">
        <v>50</v>
      </c>
      <c r="BH57" s="384">
        <v>50</v>
      </c>
      <c r="BI57" s="384">
        <v>50</v>
      </c>
      <c r="BJ57" s="384">
        <v>50</v>
      </c>
      <c r="BK57" s="384">
        <v>50</v>
      </c>
      <c r="BL57" s="384">
        <v>53</v>
      </c>
      <c r="BM57" s="384">
        <v>56</v>
      </c>
      <c r="BN57" s="384">
        <v>56</v>
      </c>
      <c r="BO57" s="384">
        <v>58</v>
      </c>
      <c r="BP57" s="384">
        <v>60</v>
      </c>
      <c r="BQ57" s="384">
        <v>60</v>
      </c>
      <c r="BR57" s="384">
        <v>62</v>
      </c>
      <c r="BS57" s="384">
        <v>64</v>
      </c>
      <c r="BT57" s="384">
        <v>64</v>
      </c>
      <c r="BU57" s="384">
        <v>66</v>
      </c>
      <c r="BV57" s="384">
        <v>69</v>
      </c>
      <c r="BW57" s="384">
        <v>72</v>
      </c>
      <c r="BX57" s="384">
        <v>78</v>
      </c>
      <c r="BY57" s="384">
        <v>81</v>
      </c>
      <c r="BZ57" s="384">
        <v>84</v>
      </c>
      <c r="CG57" s="390">
        <v>1</v>
      </c>
      <c r="CH57" s="391">
        <v>50</v>
      </c>
      <c r="CI57" s="391">
        <v>50</v>
      </c>
      <c r="CJ57" s="391">
        <v>50</v>
      </c>
      <c r="CK57" s="391">
        <v>50</v>
      </c>
      <c r="CL57" s="391">
        <v>50</v>
      </c>
      <c r="CM57" s="391">
        <v>50</v>
      </c>
      <c r="CN57" s="391">
        <v>53</v>
      </c>
      <c r="CO57" s="391">
        <v>56</v>
      </c>
      <c r="CP57" s="391">
        <v>58</v>
      </c>
      <c r="CQ57" s="391">
        <v>58</v>
      </c>
      <c r="CR57" s="391">
        <v>60</v>
      </c>
      <c r="CS57" s="391">
        <v>60</v>
      </c>
      <c r="CT57" s="391">
        <v>62</v>
      </c>
      <c r="CU57" s="391">
        <v>64</v>
      </c>
      <c r="CV57" s="391">
        <v>64</v>
      </c>
      <c r="CW57" s="391">
        <v>66</v>
      </c>
      <c r="CX57" s="391">
        <v>69</v>
      </c>
      <c r="CY57" s="391">
        <v>72</v>
      </c>
      <c r="CZ57" s="391">
        <v>78</v>
      </c>
      <c r="DA57" s="391">
        <v>81</v>
      </c>
      <c r="DB57" s="391">
        <v>84</v>
      </c>
      <c r="DI57" s="380">
        <v>1</v>
      </c>
      <c r="DJ57" s="384">
        <v>50</v>
      </c>
      <c r="DK57" s="384">
        <v>50</v>
      </c>
      <c r="DL57" s="384">
        <v>50</v>
      </c>
      <c r="DM57" s="384">
        <v>50</v>
      </c>
      <c r="DN57" s="384">
        <v>50</v>
      </c>
      <c r="DO57" s="384">
        <v>53</v>
      </c>
      <c r="DP57" s="384">
        <v>53</v>
      </c>
      <c r="DQ57" s="384">
        <v>56</v>
      </c>
      <c r="DR57" s="384">
        <v>58</v>
      </c>
      <c r="DS57" s="384">
        <v>58</v>
      </c>
      <c r="DT57" s="384">
        <v>60</v>
      </c>
      <c r="DU57" s="384">
        <v>60</v>
      </c>
      <c r="DV57" s="384">
        <v>62</v>
      </c>
      <c r="DW57" s="384">
        <v>64</v>
      </c>
      <c r="DX57" s="384">
        <v>64</v>
      </c>
      <c r="DY57" s="384">
        <v>69</v>
      </c>
      <c r="DZ57" s="384">
        <v>72</v>
      </c>
      <c r="EA57" s="384">
        <v>78</v>
      </c>
      <c r="EB57" s="384">
        <v>81</v>
      </c>
      <c r="EC57" s="384">
        <v>84</v>
      </c>
      <c r="ED57" s="384">
        <v>87</v>
      </c>
    </row>
    <row r="58" spans="1:138" x14ac:dyDescent="0.15">
      <c r="A58" s="390">
        <v>2</v>
      </c>
      <c r="B58" s="391">
        <v>50</v>
      </c>
      <c r="C58" s="391">
        <v>50</v>
      </c>
      <c r="D58" s="391">
        <v>50</v>
      </c>
      <c r="E58" s="391">
        <v>50</v>
      </c>
      <c r="F58" s="391">
        <v>50</v>
      </c>
      <c r="G58" s="391">
        <v>50</v>
      </c>
      <c r="H58" s="391">
        <v>53</v>
      </c>
      <c r="I58" s="391">
        <v>53</v>
      </c>
      <c r="J58" s="391">
        <v>56</v>
      </c>
      <c r="K58" s="391">
        <v>58</v>
      </c>
      <c r="L58" s="391">
        <v>60</v>
      </c>
      <c r="M58" s="391">
        <v>60</v>
      </c>
      <c r="N58" s="391">
        <v>62</v>
      </c>
      <c r="O58" s="391">
        <v>64</v>
      </c>
      <c r="P58" s="391">
        <v>64</v>
      </c>
      <c r="Q58" s="391">
        <v>66</v>
      </c>
      <c r="R58" s="391">
        <v>69</v>
      </c>
      <c r="S58" s="391">
        <v>72</v>
      </c>
      <c r="T58" s="391">
        <v>78</v>
      </c>
      <c r="U58" s="391">
        <v>81</v>
      </c>
      <c r="V58" s="391">
        <v>84</v>
      </c>
      <c r="AC58" s="380">
        <v>2</v>
      </c>
      <c r="AD58" s="384">
        <v>50</v>
      </c>
      <c r="AE58" s="384">
        <v>50</v>
      </c>
      <c r="AF58" s="384">
        <v>50</v>
      </c>
      <c r="AG58" s="384">
        <v>50</v>
      </c>
      <c r="AH58" s="384">
        <v>50</v>
      </c>
      <c r="AI58" s="384">
        <v>50</v>
      </c>
      <c r="AJ58" s="384">
        <v>53</v>
      </c>
      <c r="AK58" s="384">
        <v>53</v>
      </c>
      <c r="AL58" s="384">
        <v>56</v>
      </c>
      <c r="AM58" s="384">
        <v>58</v>
      </c>
      <c r="AN58" s="384">
        <v>60</v>
      </c>
      <c r="AO58" s="384">
        <v>60</v>
      </c>
      <c r="AP58" s="384">
        <v>62</v>
      </c>
      <c r="AQ58" s="384">
        <v>64</v>
      </c>
      <c r="AR58" s="384">
        <v>64</v>
      </c>
      <c r="AS58" s="384">
        <v>66</v>
      </c>
      <c r="AT58" s="384">
        <v>69</v>
      </c>
      <c r="AU58" s="384">
        <v>72</v>
      </c>
      <c r="AV58" s="384">
        <v>78</v>
      </c>
      <c r="AW58" s="384">
        <v>81</v>
      </c>
      <c r="AX58" s="384">
        <v>84</v>
      </c>
      <c r="BE58" s="380">
        <v>2</v>
      </c>
      <c r="BF58" s="384">
        <v>50</v>
      </c>
      <c r="BG58" s="384">
        <v>50</v>
      </c>
      <c r="BH58" s="384">
        <v>50</v>
      </c>
      <c r="BI58" s="384">
        <v>50</v>
      </c>
      <c r="BJ58" s="384">
        <v>50</v>
      </c>
      <c r="BK58" s="384">
        <v>50</v>
      </c>
      <c r="BL58" s="384">
        <v>53</v>
      </c>
      <c r="BM58" s="384">
        <v>56</v>
      </c>
      <c r="BN58" s="384">
        <v>56</v>
      </c>
      <c r="BO58" s="384">
        <v>58</v>
      </c>
      <c r="BP58" s="384">
        <v>60</v>
      </c>
      <c r="BQ58" s="384">
        <v>60</v>
      </c>
      <c r="BR58" s="384">
        <v>62</v>
      </c>
      <c r="BS58" s="384">
        <v>64</v>
      </c>
      <c r="BT58" s="384">
        <v>64</v>
      </c>
      <c r="BU58" s="384">
        <v>66</v>
      </c>
      <c r="BV58" s="384">
        <v>69</v>
      </c>
      <c r="BW58" s="384">
        <v>72</v>
      </c>
      <c r="BX58" s="384">
        <v>78</v>
      </c>
      <c r="BY58" s="384">
        <v>81</v>
      </c>
      <c r="BZ58" s="384">
        <v>84</v>
      </c>
      <c r="CG58" s="390">
        <v>2</v>
      </c>
      <c r="CH58" s="391">
        <v>50</v>
      </c>
      <c r="CI58" s="391">
        <v>50</v>
      </c>
      <c r="CJ58" s="391">
        <v>50</v>
      </c>
      <c r="CK58" s="391">
        <v>50</v>
      </c>
      <c r="CL58" s="391">
        <v>50</v>
      </c>
      <c r="CM58" s="391">
        <v>50</v>
      </c>
      <c r="CN58" s="391">
        <v>53</v>
      </c>
      <c r="CO58" s="391">
        <v>56</v>
      </c>
      <c r="CP58" s="391">
        <v>58</v>
      </c>
      <c r="CQ58" s="391">
        <v>58</v>
      </c>
      <c r="CR58" s="391">
        <v>60</v>
      </c>
      <c r="CS58" s="391">
        <v>60</v>
      </c>
      <c r="CT58" s="391">
        <v>62</v>
      </c>
      <c r="CU58" s="391">
        <v>64</v>
      </c>
      <c r="CV58" s="391">
        <v>64</v>
      </c>
      <c r="CW58" s="391">
        <v>66</v>
      </c>
      <c r="CX58" s="391">
        <v>69</v>
      </c>
      <c r="CY58" s="391">
        <v>72</v>
      </c>
      <c r="CZ58" s="391">
        <v>78</v>
      </c>
      <c r="DA58" s="391">
        <v>81</v>
      </c>
      <c r="DB58" s="391">
        <v>84</v>
      </c>
      <c r="DI58" s="380">
        <v>2</v>
      </c>
      <c r="DJ58" s="384">
        <v>50</v>
      </c>
      <c r="DK58" s="384">
        <v>50</v>
      </c>
      <c r="DL58" s="384">
        <v>50</v>
      </c>
      <c r="DM58" s="384">
        <v>50</v>
      </c>
      <c r="DN58" s="384">
        <v>50</v>
      </c>
      <c r="DO58" s="384">
        <v>53</v>
      </c>
      <c r="DP58" s="384">
        <v>53</v>
      </c>
      <c r="DQ58" s="384">
        <v>56</v>
      </c>
      <c r="DR58" s="384">
        <v>58</v>
      </c>
      <c r="DS58" s="384">
        <v>58</v>
      </c>
      <c r="DT58" s="384">
        <v>60</v>
      </c>
      <c r="DU58" s="384">
        <v>60</v>
      </c>
      <c r="DV58" s="384">
        <v>62</v>
      </c>
      <c r="DW58" s="384">
        <v>64</v>
      </c>
      <c r="DX58" s="384">
        <v>64</v>
      </c>
      <c r="DY58" s="384">
        <v>69</v>
      </c>
      <c r="DZ58" s="384">
        <v>72</v>
      </c>
      <c r="EA58" s="384">
        <v>78</v>
      </c>
      <c r="EB58" s="384">
        <v>81</v>
      </c>
      <c r="EC58" s="384">
        <v>84</v>
      </c>
      <c r="ED58" s="384">
        <v>87</v>
      </c>
    </row>
    <row r="59" spans="1:138" x14ac:dyDescent="0.15">
      <c r="A59" s="390">
        <v>3</v>
      </c>
      <c r="B59" s="391">
        <v>50</v>
      </c>
      <c r="C59" s="391">
        <v>50</v>
      </c>
      <c r="D59" s="391">
        <v>50</v>
      </c>
      <c r="E59" s="391">
        <v>50</v>
      </c>
      <c r="F59" s="391">
        <v>50</v>
      </c>
      <c r="G59" s="391">
        <v>50</v>
      </c>
      <c r="H59" s="391">
        <v>53</v>
      </c>
      <c r="I59" s="391">
        <v>53</v>
      </c>
      <c r="J59" s="391">
        <v>56</v>
      </c>
      <c r="K59" s="391">
        <v>58</v>
      </c>
      <c r="L59" s="391">
        <v>60</v>
      </c>
      <c r="M59" s="391">
        <v>60</v>
      </c>
      <c r="N59" s="391">
        <v>62</v>
      </c>
      <c r="O59" s="391">
        <v>64</v>
      </c>
      <c r="P59" s="391">
        <v>64</v>
      </c>
      <c r="Q59" s="391">
        <v>66</v>
      </c>
      <c r="R59" s="391">
        <v>69</v>
      </c>
      <c r="S59" s="391">
        <v>72</v>
      </c>
      <c r="T59" s="391">
        <v>78</v>
      </c>
      <c r="U59" s="391">
        <v>81</v>
      </c>
      <c r="V59" s="391">
        <v>84</v>
      </c>
      <c r="AC59" s="380">
        <v>3</v>
      </c>
      <c r="AD59" s="384">
        <v>50</v>
      </c>
      <c r="AE59" s="384">
        <v>50</v>
      </c>
      <c r="AF59" s="384">
        <v>50</v>
      </c>
      <c r="AG59" s="384">
        <v>50</v>
      </c>
      <c r="AH59" s="384">
        <v>50</v>
      </c>
      <c r="AI59" s="384">
        <v>50</v>
      </c>
      <c r="AJ59" s="384">
        <v>53</v>
      </c>
      <c r="AK59" s="384">
        <v>53</v>
      </c>
      <c r="AL59" s="384">
        <v>56</v>
      </c>
      <c r="AM59" s="384">
        <v>58</v>
      </c>
      <c r="AN59" s="384">
        <v>60</v>
      </c>
      <c r="AO59" s="384">
        <v>60</v>
      </c>
      <c r="AP59" s="384">
        <v>62</v>
      </c>
      <c r="AQ59" s="384">
        <v>64</v>
      </c>
      <c r="AR59" s="384">
        <v>64</v>
      </c>
      <c r="AS59" s="384">
        <v>66</v>
      </c>
      <c r="AT59" s="384">
        <v>69</v>
      </c>
      <c r="AU59" s="384">
        <v>72</v>
      </c>
      <c r="AV59" s="384">
        <v>78</v>
      </c>
      <c r="AW59" s="384">
        <v>81</v>
      </c>
      <c r="AX59" s="384">
        <v>84</v>
      </c>
      <c r="BE59" s="380">
        <v>3</v>
      </c>
      <c r="BF59" s="384">
        <v>50</v>
      </c>
      <c r="BG59" s="384">
        <v>50</v>
      </c>
      <c r="BH59" s="384">
        <v>50</v>
      </c>
      <c r="BI59" s="384">
        <v>50</v>
      </c>
      <c r="BJ59" s="384">
        <v>50</v>
      </c>
      <c r="BK59" s="384">
        <v>50</v>
      </c>
      <c r="BL59" s="384">
        <v>53</v>
      </c>
      <c r="BM59" s="384">
        <v>56</v>
      </c>
      <c r="BN59" s="384">
        <v>56</v>
      </c>
      <c r="BO59" s="384">
        <v>58</v>
      </c>
      <c r="BP59" s="384">
        <v>60</v>
      </c>
      <c r="BQ59" s="384">
        <v>60</v>
      </c>
      <c r="BR59" s="384">
        <v>62</v>
      </c>
      <c r="BS59" s="384">
        <v>64</v>
      </c>
      <c r="BT59" s="384">
        <v>64</v>
      </c>
      <c r="BU59" s="384">
        <v>66</v>
      </c>
      <c r="BV59" s="384">
        <v>69</v>
      </c>
      <c r="BW59" s="384">
        <v>72</v>
      </c>
      <c r="BX59" s="384">
        <v>78</v>
      </c>
      <c r="BY59" s="384">
        <v>81</v>
      </c>
      <c r="BZ59" s="384">
        <v>84</v>
      </c>
      <c r="CG59" s="391">
        <v>3</v>
      </c>
      <c r="CH59" s="391">
        <v>50</v>
      </c>
      <c r="CI59" s="391">
        <v>50</v>
      </c>
      <c r="CJ59" s="391">
        <v>50</v>
      </c>
      <c r="CK59" s="391">
        <v>50</v>
      </c>
      <c r="CL59" s="391">
        <v>50</v>
      </c>
      <c r="CM59" s="391">
        <v>50</v>
      </c>
      <c r="CN59" s="391">
        <v>53</v>
      </c>
      <c r="CO59" s="391">
        <v>56</v>
      </c>
      <c r="CP59" s="391">
        <v>58</v>
      </c>
      <c r="CQ59" s="391">
        <v>58</v>
      </c>
      <c r="CR59" s="391">
        <v>60</v>
      </c>
      <c r="CS59" s="391">
        <v>60</v>
      </c>
      <c r="CT59" s="391">
        <v>62</v>
      </c>
      <c r="CU59" s="391">
        <v>64</v>
      </c>
      <c r="CV59" s="391">
        <v>64</v>
      </c>
      <c r="CW59" s="391">
        <v>66</v>
      </c>
      <c r="CX59" s="391">
        <v>69</v>
      </c>
      <c r="CY59" s="391">
        <v>72</v>
      </c>
      <c r="CZ59" s="391">
        <v>78</v>
      </c>
      <c r="DA59" s="391">
        <v>81</v>
      </c>
      <c r="DB59" s="391">
        <v>84</v>
      </c>
      <c r="DI59" s="380">
        <v>3</v>
      </c>
      <c r="DJ59" s="384">
        <v>50</v>
      </c>
      <c r="DK59" s="384">
        <v>50</v>
      </c>
      <c r="DL59" s="384">
        <v>50</v>
      </c>
      <c r="DM59" s="384">
        <v>50</v>
      </c>
      <c r="DN59" s="384">
        <v>50</v>
      </c>
      <c r="DO59" s="384">
        <v>53</v>
      </c>
      <c r="DP59" s="384">
        <v>53</v>
      </c>
      <c r="DQ59" s="384">
        <v>56</v>
      </c>
      <c r="DR59" s="384">
        <v>58</v>
      </c>
      <c r="DS59" s="384">
        <v>58</v>
      </c>
      <c r="DT59" s="384">
        <v>60</v>
      </c>
      <c r="DU59" s="384">
        <v>60</v>
      </c>
      <c r="DV59" s="384">
        <v>62</v>
      </c>
      <c r="DW59" s="384">
        <v>64</v>
      </c>
      <c r="DX59" s="384">
        <v>64</v>
      </c>
      <c r="DY59" s="384">
        <v>69</v>
      </c>
      <c r="DZ59" s="384">
        <v>72</v>
      </c>
      <c r="EA59" s="384">
        <v>78</v>
      </c>
      <c r="EB59" s="384">
        <v>81</v>
      </c>
      <c r="EC59" s="384">
        <v>84</v>
      </c>
      <c r="ED59" s="384">
        <v>87</v>
      </c>
    </row>
    <row r="60" spans="1:138" x14ac:dyDescent="0.15">
      <c r="A60" s="390">
        <v>4</v>
      </c>
      <c r="B60" s="391">
        <v>50</v>
      </c>
      <c r="C60" s="391">
        <v>50</v>
      </c>
      <c r="D60" s="391">
        <v>50</v>
      </c>
      <c r="E60" s="391">
        <v>50</v>
      </c>
      <c r="F60" s="391">
        <v>50</v>
      </c>
      <c r="G60" s="391">
        <v>50</v>
      </c>
      <c r="H60" s="391">
        <v>53</v>
      </c>
      <c r="I60" s="391">
        <v>53</v>
      </c>
      <c r="J60" s="391">
        <v>56</v>
      </c>
      <c r="K60" s="391">
        <v>58</v>
      </c>
      <c r="L60" s="391">
        <v>60</v>
      </c>
      <c r="M60" s="391">
        <v>60</v>
      </c>
      <c r="N60" s="391">
        <v>62</v>
      </c>
      <c r="O60" s="391">
        <v>64</v>
      </c>
      <c r="P60" s="391">
        <v>64</v>
      </c>
      <c r="Q60" s="391">
        <v>66</v>
      </c>
      <c r="R60" s="391">
        <v>69</v>
      </c>
      <c r="S60" s="391">
        <v>72</v>
      </c>
      <c r="T60" s="391">
        <v>78</v>
      </c>
      <c r="U60" s="391">
        <v>81</v>
      </c>
      <c r="V60" s="391">
        <v>84</v>
      </c>
      <c r="AC60" s="380">
        <v>4</v>
      </c>
      <c r="AD60" s="384">
        <v>50</v>
      </c>
      <c r="AE60" s="384">
        <v>50</v>
      </c>
      <c r="AF60" s="384">
        <v>50</v>
      </c>
      <c r="AG60" s="384">
        <v>50</v>
      </c>
      <c r="AH60" s="384">
        <v>50</v>
      </c>
      <c r="AI60" s="384">
        <v>50</v>
      </c>
      <c r="AJ60" s="384">
        <v>53</v>
      </c>
      <c r="AK60" s="384">
        <v>53</v>
      </c>
      <c r="AL60" s="384">
        <v>56</v>
      </c>
      <c r="AM60" s="384">
        <v>58</v>
      </c>
      <c r="AN60" s="384">
        <v>60</v>
      </c>
      <c r="AO60" s="384">
        <v>60</v>
      </c>
      <c r="AP60" s="384">
        <v>62</v>
      </c>
      <c r="AQ60" s="384">
        <v>64</v>
      </c>
      <c r="AR60" s="384">
        <v>64</v>
      </c>
      <c r="AS60" s="384">
        <v>66</v>
      </c>
      <c r="AT60" s="384">
        <v>69</v>
      </c>
      <c r="AU60" s="384">
        <v>72</v>
      </c>
      <c r="AV60" s="384">
        <v>78</v>
      </c>
      <c r="AW60" s="384">
        <v>81</v>
      </c>
      <c r="AX60" s="384">
        <v>84</v>
      </c>
      <c r="BE60" s="380">
        <v>4</v>
      </c>
      <c r="BF60" s="384">
        <v>50</v>
      </c>
      <c r="BG60" s="384">
        <v>50</v>
      </c>
      <c r="BH60" s="384">
        <v>50</v>
      </c>
      <c r="BI60" s="384">
        <v>50</v>
      </c>
      <c r="BJ60" s="384">
        <v>50</v>
      </c>
      <c r="BK60" s="384">
        <v>50</v>
      </c>
      <c r="BL60" s="384">
        <v>53</v>
      </c>
      <c r="BM60" s="384">
        <v>56</v>
      </c>
      <c r="BN60" s="384">
        <v>56</v>
      </c>
      <c r="BO60" s="384">
        <v>58</v>
      </c>
      <c r="BP60" s="384">
        <v>60</v>
      </c>
      <c r="BQ60" s="384">
        <v>60</v>
      </c>
      <c r="BR60" s="384">
        <v>62</v>
      </c>
      <c r="BS60" s="384">
        <v>64</v>
      </c>
      <c r="BT60" s="384">
        <v>64</v>
      </c>
      <c r="BU60" s="384">
        <v>66</v>
      </c>
      <c r="BV60" s="384">
        <v>69</v>
      </c>
      <c r="BW60" s="384">
        <v>72</v>
      </c>
      <c r="BX60" s="384">
        <v>78</v>
      </c>
      <c r="BY60" s="384">
        <v>81</v>
      </c>
      <c r="BZ60" s="384">
        <v>84</v>
      </c>
      <c r="CG60" s="390">
        <v>4</v>
      </c>
      <c r="CH60" s="391">
        <v>50</v>
      </c>
      <c r="CI60" s="391">
        <v>50</v>
      </c>
      <c r="CJ60" s="391">
        <v>50</v>
      </c>
      <c r="CK60" s="391">
        <v>50</v>
      </c>
      <c r="CL60" s="391">
        <v>50</v>
      </c>
      <c r="CM60" s="391">
        <v>50</v>
      </c>
      <c r="CN60" s="391">
        <v>53</v>
      </c>
      <c r="CO60" s="391">
        <v>56</v>
      </c>
      <c r="CP60" s="391">
        <v>58</v>
      </c>
      <c r="CQ60" s="391">
        <v>58</v>
      </c>
      <c r="CR60" s="391">
        <v>60</v>
      </c>
      <c r="CS60" s="391">
        <v>60</v>
      </c>
      <c r="CT60" s="391">
        <v>62</v>
      </c>
      <c r="CU60" s="391">
        <v>64</v>
      </c>
      <c r="CV60" s="391">
        <v>64</v>
      </c>
      <c r="CW60" s="391">
        <v>66</v>
      </c>
      <c r="CX60" s="391">
        <v>69</v>
      </c>
      <c r="CY60" s="391">
        <v>72</v>
      </c>
      <c r="CZ60" s="391">
        <v>78</v>
      </c>
      <c r="DA60" s="391">
        <v>81</v>
      </c>
      <c r="DB60" s="391">
        <v>84</v>
      </c>
      <c r="DI60" s="380">
        <v>4</v>
      </c>
      <c r="DJ60" s="384">
        <v>50</v>
      </c>
      <c r="DK60" s="384">
        <v>50</v>
      </c>
      <c r="DL60" s="384">
        <v>50</v>
      </c>
      <c r="DM60" s="384">
        <v>50</v>
      </c>
      <c r="DN60" s="384">
        <v>50</v>
      </c>
      <c r="DO60" s="384">
        <v>53</v>
      </c>
      <c r="DP60" s="384">
        <v>53</v>
      </c>
      <c r="DQ60" s="384">
        <v>56</v>
      </c>
      <c r="DR60" s="384">
        <v>58</v>
      </c>
      <c r="DS60" s="384">
        <v>58</v>
      </c>
      <c r="DT60" s="384">
        <v>60</v>
      </c>
      <c r="DU60" s="384">
        <v>60</v>
      </c>
      <c r="DV60" s="384">
        <v>62</v>
      </c>
      <c r="DW60" s="384">
        <v>64</v>
      </c>
      <c r="DX60" s="384">
        <v>64</v>
      </c>
      <c r="DY60" s="384">
        <v>69</v>
      </c>
      <c r="DZ60" s="384">
        <v>72</v>
      </c>
      <c r="EA60" s="384">
        <v>78</v>
      </c>
      <c r="EB60" s="384">
        <v>81</v>
      </c>
      <c r="EC60" s="384">
        <v>84</v>
      </c>
      <c r="ED60" s="384">
        <v>87</v>
      </c>
    </row>
    <row r="61" spans="1:138" x14ac:dyDescent="0.15">
      <c r="A61" s="390">
        <v>5</v>
      </c>
      <c r="B61" s="391">
        <v>50</v>
      </c>
      <c r="C61" s="391">
        <v>50</v>
      </c>
      <c r="D61" s="391">
        <v>50</v>
      </c>
      <c r="E61" s="391">
        <v>50</v>
      </c>
      <c r="F61" s="391">
        <v>50</v>
      </c>
      <c r="G61" s="391">
        <v>50</v>
      </c>
      <c r="H61" s="391">
        <v>53</v>
      </c>
      <c r="I61" s="391">
        <v>53</v>
      </c>
      <c r="J61" s="391">
        <v>56</v>
      </c>
      <c r="K61" s="391">
        <v>58</v>
      </c>
      <c r="L61" s="391">
        <v>60</v>
      </c>
      <c r="M61" s="391">
        <v>60</v>
      </c>
      <c r="N61" s="391">
        <v>62</v>
      </c>
      <c r="O61" s="391">
        <v>64</v>
      </c>
      <c r="P61" s="391">
        <v>64</v>
      </c>
      <c r="Q61" s="391">
        <v>66</v>
      </c>
      <c r="R61" s="391">
        <v>69</v>
      </c>
      <c r="S61" s="391">
        <v>72</v>
      </c>
      <c r="T61" s="391">
        <v>78</v>
      </c>
      <c r="U61" s="391">
        <v>81</v>
      </c>
      <c r="V61" s="391">
        <v>84</v>
      </c>
      <c r="AC61" s="380">
        <v>5</v>
      </c>
      <c r="AD61" s="384">
        <v>50</v>
      </c>
      <c r="AE61" s="384">
        <v>50</v>
      </c>
      <c r="AF61" s="384">
        <v>50</v>
      </c>
      <c r="AG61" s="384">
        <v>50</v>
      </c>
      <c r="AH61" s="384">
        <v>50</v>
      </c>
      <c r="AI61" s="384">
        <v>50</v>
      </c>
      <c r="AJ61" s="384">
        <v>53</v>
      </c>
      <c r="AK61" s="384">
        <v>53</v>
      </c>
      <c r="AL61" s="384">
        <v>56</v>
      </c>
      <c r="AM61" s="384">
        <v>58</v>
      </c>
      <c r="AN61" s="384">
        <v>60</v>
      </c>
      <c r="AO61" s="384">
        <v>60</v>
      </c>
      <c r="AP61" s="384">
        <v>62</v>
      </c>
      <c r="AQ61" s="384">
        <v>64</v>
      </c>
      <c r="AR61" s="384">
        <v>64</v>
      </c>
      <c r="AS61" s="384">
        <v>66</v>
      </c>
      <c r="AT61" s="384">
        <v>69</v>
      </c>
      <c r="AU61" s="384">
        <v>72</v>
      </c>
      <c r="AV61" s="384">
        <v>78</v>
      </c>
      <c r="AW61" s="384">
        <v>81</v>
      </c>
      <c r="AX61" s="384">
        <v>84</v>
      </c>
      <c r="BE61" s="380">
        <v>5</v>
      </c>
      <c r="BF61" s="384">
        <v>50</v>
      </c>
      <c r="BG61" s="384">
        <v>50</v>
      </c>
      <c r="BH61" s="384">
        <v>50</v>
      </c>
      <c r="BI61" s="384">
        <v>50</v>
      </c>
      <c r="BJ61" s="384">
        <v>50</v>
      </c>
      <c r="BK61" s="384">
        <v>50</v>
      </c>
      <c r="BL61" s="384">
        <v>53</v>
      </c>
      <c r="BM61" s="384">
        <v>56</v>
      </c>
      <c r="BN61" s="384">
        <v>56</v>
      </c>
      <c r="BO61" s="384">
        <v>58</v>
      </c>
      <c r="BP61" s="384">
        <v>60</v>
      </c>
      <c r="BQ61" s="384">
        <v>60</v>
      </c>
      <c r="BR61" s="384">
        <v>62</v>
      </c>
      <c r="BS61" s="384">
        <v>64</v>
      </c>
      <c r="BT61" s="384">
        <v>64</v>
      </c>
      <c r="BU61" s="384">
        <v>66</v>
      </c>
      <c r="BV61" s="384">
        <v>69</v>
      </c>
      <c r="BW61" s="384">
        <v>72</v>
      </c>
      <c r="BX61" s="384">
        <v>78</v>
      </c>
      <c r="BY61" s="384">
        <v>81</v>
      </c>
      <c r="BZ61" s="384">
        <v>84</v>
      </c>
      <c r="CG61" s="390">
        <v>5</v>
      </c>
      <c r="CH61" s="391">
        <v>50</v>
      </c>
      <c r="CI61" s="391">
        <v>50</v>
      </c>
      <c r="CJ61" s="391">
        <v>50</v>
      </c>
      <c r="CK61" s="391">
        <v>50</v>
      </c>
      <c r="CL61" s="391">
        <v>50</v>
      </c>
      <c r="CM61" s="391">
        <v>50</v>
      </c>
      <c r="CN61" s="391">
        <v>53</v>
      </c>
      <c r="CO61" s="391">
        <v>56</v>
      </c>
      <c r="CP61" s="391">
        <v>58</v>
      </c>
      <c r="CQ61" s="391">
        <v>58</v>
      </c>
      <c r="CR61" s="391">
        <v>60</v>
      </c>
      <c r="CS61" s="391">
        <v>60</v>
      </c>
      <c r="CT61" s="391">
        <v>62</v>
      </c>
      <c r="CU61" s="391">
        <v>64</v>
      </c>
      <c r="CV61" s="391">
        <v>64</v>
      </c>
      <c r="CW61" s="391">
        <v>66</v>
      </c>
      <c r="CX61" s="391">
        <v>69</v>
      </c>
      <c r="CY61" s="391">
        <v>72</v>
      </c>
      <c r="CZ61" s="391">
        <v>78</v>
      </c>
      <c r="DA61" s="391">
        <v>81</v>
      </c>
      <c r="DB61" s="391">
        <v>84</v>
      </c>
      <c r="DI61" s="380">
        <v>5</v>
      </c>
      <c r="DJ61" s="384">
        <v>50</v>
      </c>
      <c r="DK61" s="384">
        <v>50</v>
      </c>
      <c r="DL61" s="384">
        <v>50</v>
      </c>
      <c r="DM61" s="384">
        <v>50</v>
      </c>
      <c r="DN61" s="384">
        <v>50</v>
      </c>
      <c r="DO61" s="384">
        <v>53</v>
      </c>
      <c r="DP61" s="384">
        <v>53</v>
      </c>
      <c r="DQ61" s="384">
        <v>56</v>
      </c>
      <c r="DR61" s="384">
        <v>58</v>
      </c>
      <c r="DS61" s="384">
        <v>58</v>
      </c>
      <c r="DT61" s="384">
        <v>60</v>
      </c>
      <c r="DU61" s="384">
        <v>60</v>
      </c>
      <c r="DV61" s="384">
        <v>62</v>
      </c>
      <c r="DW61" s="384">
        <v>64</v>
      </c>
      <c r="DX61" s="384">
        <v>64</v>
      </c>
      <c r="DY61" s="384">
        <v>69</v>
      </c>
      <c r="DZ61" s="384">
        <v>72</v>
      </c>
      <c r="EA61" s="384">
        <v>78</v>
      </c>
      <c r="EB61" s="384">
        <v>81</v>
      </c>
      <c r="EC61" s="384">
        <v>84</v>
      </c>
      <c r="ED61" s="384">
        <v>87</v>
      </c>
    </row>
    <row r="62" spans="1:138" x14ac:dyDescent="0.15">
      <c r="A62" s="390">
        <v>6</v>
      </c>
      <c r="B62" s="391">
        <v>50</v>
      </c>
      <c r="C62" s="391">
        <v>50</v>
      </c>
      <c r="D62" s="391">
        <v>50</v>
      </c>
      <c r="E62" s="391">
        <v>50</v>
      </c>
      <c r="F62" s="391">
        <v>50</v>
      </c>
      <c r="G62" s="391">
        <v>50</v>
      </c>
      <c r="H62" s="391">
        <v>53</v>
      </c>
      <c r="I62" s="391">
        <v>53</v>
      </c>
      <c r="J62" s="391">
        <v>56</v>
      </c>
      <c r="K62" s="391">
        <v>58</v>
      </c>
      <c r="L62" s="391">
        <v>60</v>
      </c>
      <c r="M62" s="391">
        <v>60</v>
      </c>
      <c r="N62" s="391">
        <v>62</v>
      </c>
      <c r="O62" s="391">
        <v>64</v>
      </c>
      <c r="P62" s="391">
        <v>64</v>
      </c>
      <c r="Q62" s="391">
        <v>66</v>
      </c>
      <c r="R62" s="391">
        <v>69</v>
      </c>
      <c r="S62" s="391">
        <v>72</v>
      </c>
      <c r="T62" s="391">
        <v>78</v>
      </c>
      <c r="U62" s="391">
        <v>81</v>
      </c>
      <c r="V62" s="391">
        <v>84</v>
      </c>
      <c r="AC62" s="380">
        <v>6</v>
      </c>
      <c r="AD62" s="384">
        <v>50</v>
      </c>
      <c r="AE62" s="384">
        <v>50</v>
      </c>
      <c r="AF62" s="384">
        <v>50</v>
      </c>
      <c r="AG62" s="384">
        <v>50</v>
      </c>
      <c r="AH62" s="384">
        <v>50</v>
      </c>
      <c r="AI62" s="384">
        <v>50</v>
      </c>
      <c r="AJ62" s="384">
        <v>53</v>
      </c>
      <c r="AK62" s="384">
        <v>53</v>
      </c>
      <c r="AL62" s="384">
        <v>56</v>
      </c>
      <c r="AM62" s="384">
        <v>58</v>
      </c>
      <c r="AN62" s="384">
        <v>60</v>
      </c>
      <c r="AO62" s="384">
        <v>60</v>
      </c>
      <c r="AP62" s="384">
        <v>62</v>
      </c>
      <c r="AQ62" s="384">
        <v>64</v>
      </c>
      <c r="AR62" s="384">
        <v>64</v>
      </c>
      <c r="AS62" s="384">
        <v>66</v>
      </c>
      <c r="AT62" s="384">
        <v>69</v>
      </c>
      <c r="AU62" s="384">
        <v>72</v>
      </c>
      <c r="AV62" s="384">
        <v>78</v>
      </c>
      <c r="AW62" s="384">
        <v>81</v>
      </c>
      <c r="AX62" s="384">
        <v>84</v>
      </c>
      <c r="BE62" s="380">
        <v>6</v>
      </c>
      <c r="BF62" s="384">
        <v>50</v>
      </c>
      <c r="BG62" s="384">
        <v>50</v>
      </c>
      <c r="BH62" s="384">
        <v>50</v>
      </c>
      <c r="BI62" s="384">
        <v>50</v>
      </c>
      <c r="BJ62" s="384">
        <v>50</v>
      </c>
      <c r="BK62" s="384">
        <v>50</v>
      </c>
      <c r="BL62" s="384">
        <v>53</v>
      </c>
      <c r="BM62" s="384">
        <v>56</v>
      </c>
      <c r="BN62" s="384">
        <v>56</v>
      </c>
      <c r="BO62" s="384">
        <v>58</v>
      </c>
      <c r="BP62" s="384">
        <v>60</v>
      </c>
      <c r="BQ62" s="384">
        <v>60</v>
      </c>
      <c r="BR62" s="384">
        <v>62</v>
      </c>
      <c r="BS62" s="384">
        <v>64</v>
      </c>
      <c r="BT62" s="384">
        <v>64</v>
      </c>
      <c r="BU62" s="384">
        <v>66</v>
      </c>
      <c r="BV62" s="384">
        <v>69</v>
      </c>
      <c r="BW62" s="384">
        <v>72</v>
      </c>
      <c r="BX62" s="384">
        <v>78</v>
      </c>
      <c r="BY62" s="384">
        <v>81</v>
      </c>
      <c r="BZ62" s="384">
        <v>84</v>
      </c>
      <c r="CG62" s="390">
        <v>6</v>
      </c>
      <c r="CH62" s="391">
        <v>50</v>
      </c>
      <c r="CI62" s="391">
        <v>50</v>
      </c>
      <c r="CJ62" s="391">
        <v>50</v>
      </c>
      <c r="CK62" s="391">
        <v>50</v>
      </c>
      <c r="CL62" s="391">
        <v>50</v>
      </c>
      <c r="CM62" s="391">
        <v>50</v>
      </c>
      <c r="CN62" s="391">
        <v>53</v>
      </c>
      <c r="CO62" s="391">
        <v>56</v>
      </c>
      <c r="CP62" s="391">
        <v>58</v>
      </c>
      <c r="CQ62" s="391">
        <v>58</v>
      </c>
      <c r="CR62" s="391">
        <v>60</v>
      </c>
      <c r="CS62" s="391">
        <v>60</v>
      </c>
      <c r="CT62" s="391">
        <v>62</v>
      </c>
      <c r="CU62" s="391">
        <v>64</v>
      </c>
      <c r="CV62" s="391">
        <v>64</v>
      </c>
      <c r="CW62" s="391">
        <v>66</v>
      </c>
      <c r="CX62" s="391">
        <v>69</v>
      </c>
      <c r="CY62" s="391">
        <v>72</v>
      </c>
      <c r="CZ62" s="391">
        <v>78</v>
      </c>
      <c r="DA62" s="391">
        <v>81</v>
      </c>
      <c r="DB62" s="391">
        <v>84</v>
      </c>
      <c r="DI62" s="380">
        <v>6</v>
      </c>
      <c r="DJ62" s="384">
        <v>50</v>
      </c>
      <c r="DK62" s="384">
        <v>50</v>
      </c>
      <c r="DL62" s="384">
        <v>50</v>
      </c>
      <c r="DM62" s="384">
        <v>50</v>
      </c>
      <c r="DN62" s="384">
        <v>50</v>
      </c>
      <c r="DO62" s="384">
        <v>53</v>
      </c>
      <c r="DP62" s="384">
        <v>53</v>
      </c>
      <c r="DQ62" s="384">
        <v>56</v>
      </c>
      <c r="DR62" s="384">
        <v>58</v>
      </c>
      <c r="DS62" s="384">
        <v>58</v>
      </c>
      <c r="DT62" s="384">
        <v>60</v>
      </c>
      <c r="DU62" s="384">
        <v>60</v>
      </c>
      <c r="DV62" s="384">
        <v>62</v>
      </c>
      <c r="DW62" s="384">
        <v>64</v>
      </c>
      <c r="DX62" s="384">
        <v>64</v>
      </c>
      <c r="DY62" s="384">
        <v>69</v>
      </c>
      <c r="DZ62" s="384">
        <v>72</v>
      </c>
      <c r="EA62" s="384">
        <v>78</v>
      </c>
      <c r="EB62" s="384">
        <v>81</v>
      </c>
      <c r="EC62" s="384">
        <v>84</v>
      </c>
      <c r="ED62" s="384">
        <v>87</v>
      </c>
    </row>
    <row r="63" spans="1:138" x14ac:dyDescent="0.15">
      <c r="A63" s="390">
        <v>7</v>
      </c>
      <c r="B63" s="391">
        <v>50</v>
      </c>
      <c r="C63" s="391">
        <v>50</v>
      </c>
      <c r="D63" s="391">
        <v>50</v>
      </c>
      <c r="E63" s="391">
        <v>50</v>
      </c>
      <c r="F63" s="391">
        <v>50</v>
      </c>
      <c r="G63" s="391">
        <v>50</v>
      </c>
      <c r="H63" s="391">
        <v>53</v>
      </c>
      <c r="I63" s="391">
        <v>53</v>
      </c>
      <c r="J63" s="391">
        <v>56</v>
      </c>
      <c r="K63" s="391">
        <v>58</v>
      </c>
      <c r="L63" s="391">
        <v>60</v>
      </c>
      <c r="M63" s="391">
        <v>60</v>
      </c>
      <c r="N63" s="391">
        <v>62</v>
      </c>
      <c r="O63" s="391">
        <v>64</v>
      </c>
      <c r="P63" s="391">
        <v>64</v>
      </c>
      <c r="Q63" s="391">
        <v>66</v>
      </c>
      <c r="R63" s="391">
        <v>69</v>
      </c>
      <c r="S63" s="391">
        <v>72</v>
      </c>
      <c r="T63" s="391">
        <v>78</v>
      </c>
      <c r="U63" s="391">
        <v>81</v>
      </c>
      <c r="V63" s="391">
        <v>84</v>
      </c>
      <c r="AC63" s="380">
        <v>7</v>
      </c>
      <c r="AD63" s="384">
        <v>50</v>
      </c>
      <c r="AE63" s="384">
        <v>50</v>
      </c>
      <c r="AF63" s="384">
        <v>50</v>
      </c>
      <c r="AG63" s="384">
        <v>50</v>
      </c>
      <c r="AH63" s="384">
        <v>50</v>
      </c>
      <c r="AI63" s="384">
        <v>50</v>
      </c>
      <c r="AJ63" s="384">
        <v>53</v>
      </c>
      <c r="AK63" s="384">
        <v>53</v>
      </c>
      <c r="AL63" s="384">
        <v>56</v>
      </c>
      <c r="AM63" s="384">
        <v>58</v>
      </c>
      <c r="AN63" s="384">
        <v>60</v>
      </c>
      <c r="AO63" s="384">
        <v>60</v>
      </c>
      <c r="AP63" s="384">
        <v>62</v>
      </c>
      <c r="AQ63" s="384">
        <v>64</v>
      </c>
      <c r="AR63" s="384">
        <v>64</v>
      </c>
      <c r="AS63" s="384">
        <v>66</v>
      </c>
      <c r="AT63" s="384">
        <v>69</v>
      </c>
      <c r="AU63" s="384">
        <v>72</v>
      </c>
      <c r="AV63" s="384">
        <v>78</v>
      </c>
      <c r="AW63" s="384">
        <v>81</v>
      </c>
      <c r="AX63" s="384">
        <v>84</v>
      </c>
      <c r="BE63" s="380">
        <v>7</v>
      </c>
      <c r="BF63" s="384">
        <v>50</v>
      </c>
      <c r="BG63" s="384">
        <v>50</v>
      </c>
      <c r="BH63" s="384">
        <v>50</v>
      </c>
      <c r="BI63" s="384">
        <v>50</v>
      </c>
      <c r="BJ63" s="384">
        <v>50</v>
      </c>
      <c r="BK63" s="384">
        <v>50</v>
      </c>
      <c r="BL63" s="384">
        <v>53</v>
      </c>
      <c r="BM63" s="384">
        <v>56</v>
      </c>
      <c r="BN63" s="384">
        <v>56</v>
      </c>
      <c r="BO63" s="384">
        <v>58</v>
      </c>
      <c r="BP63" s="384">
        <v>60</v>
      </c>
      <c r="BQ63" s="384">
        <v>60</v>
      </c>
      <c r="BR63" s="384">
        <v>62</v>
      </c>
      <c r="BS63" s="384">
        <v>64</v>
      </c>
      <c r="BT63" s="384">
        <v>64</v>
      </c>
      <c r="BU63" s="384">
        <v>66</v>
      </c>
      <c r="BV63" s="384">
        <v>69</v>
      </c>
      <c r="BW63" s="384">
        <v>72</v>
      </c>
      <c r="BX63" s="384">
        <v>78</v>
      </c>
      <c r="BY63" s="384">
        <v>81</v>
      </c>
      <c r="BZ63" s="384">
        <v>84</v>
      </c>
      <c r="CG63" s="390">
        <v>7</v>
      </c>
      <c r="CH63" s="391">
        <v>50</v>
      </c>
      <c r="CI63" s="391">
        <v>50</v>
      </c>
      <c r="CJ63" s="391">
        <v>50</v>
      </c>
      <c r="CK63" s="391">
        <v>50</v>
      </c>
      <c r="CL63" s="391">
        <v>50</v>
      </c>
      <c r="CM63" s="391">
        <v>50</v>
      </c>
      <c r="CN63" s="391">
        <v>53</v>
      </c>
      <c r="CO63" s="391">
        <v>56</v>
      </c>
      <c r="CP63" s="391">
        <v>58</v>
      </c>
      <c r="CQ63" s="391">
        <v>58</v>
      </c>
      <c r="CR63" s="391">
        <v>60</v>
      </c>
      <c r="CS63" s="391">
        <v>60</v>
      </c>
      <c r="CT63" s="391">
        <v>62</v>
      </c>
      <c r="CU63" s="391">
        <v>64</v>
      </c>
      <c r="CV63" s="391">
        <v>64</v>
      </c>
      <c r="CW63" s="391">
        <v>66</v>
      </c>
      <c r="CX63" s="391">
        <v>69</v>
      </c>
      <c r="CY63" s="391">
        <v>72</v>
      </c>
      <c r="CZ63" s="391">
        <v>78</v>
      </c>
      <c r="DA63" s="391">
        <v>81</v>
      </c>
      <c r="DB63" s="391">
        <v>84</v>
      </c>
      <c r="DI63" s="380">
        <v>7</v>
      </c>
      <c r="DJ63" s="384">
        <v>50</v>
      </c>
      <c r="DK63" s="384">
        <v>50</v>
      </c>
      <c r="DL63" s="384">
        <v>50</v>
      </c>
      <c r="DM63" s="384">
        <v>50</v>
      </c>
      <c r="DN63" s="384">
        <v>50</v>
      </c>
      <c r="DO63" s="384">
        <v>53</v>
      </c>
      <c r="DP63" s="384">
        <v>53</v>
      </c>
      <c r="DQ63" s="384">
        <v>56</v>
      </c>
      <c r="DR63" s="384">
        <v>58</v>
      </c>
      <c r="DS63" s="384">
        <v>58</v>
      </c>
      <c r="DT63" s="384">
        <v>60</v>
      </c>
      <c r="DU63" s="384">
        <v>60</v>
      </c>
      <c r="DV63" s="384">
        <v>62</v>
      </c>
      <c r="DW63" s="384">
        <v>64</v>
      </c>
      <c r="DX63" s="384">
        <v>64</v>
      </c>
      <c r="DY63" s="384">
        <v>69</v>
      </c>
      <c r="DZ63" s="384">
        <v>72</v>
      </c>
      <c r="EA63" s="384">
        <v>78</v>
      </c>
      <c r="EB63" s="384">
        <v>81</v>
      </c>
      <c r="EC63" s="384">
        <v>84</v>
      </c>
      <c r="ED63" s="384">
        <v>87</v>
      </c>
    </row>
    <row r="64" spans="1:138" x14ac:dyDescent="0.15">
      <c r="A64" s="390">
        <v>8</v>
      </c>
      <c r="B64" s="392">
        <v>50</v>
      </c>
      <c r="C64" s="392">
        <v>50</v>
      </c>
      <c r="D64" s="392">
        <v>50</v>
      </c>
      <c r="E64" s="392">
        <v>50</v>
      </c>
      <c r="F64" s="392">
        <v>50</v>
      </c>
      <c r="G64" s="392">
        <v>50</v>
      </c>
      <c r="H64" s="392">
        <v>53</v>
      </c>
      <c r="I64" s="392">
        <v>53</v>
      </c>
      <c r="J64" s="392">
        <v>56</v>
      </c>
      <c r="K64" s="392">
        <v>58</v>
      </c>
      <c r="L64" s="391">
        <v>60</v>
      </c>
      <c r="M64" s="391">
        <v>60</v>
      </c>
      <c r="N64" s="391">
        <v>62</v>
      </c>
      <c r="O64" s="392">
        <v>64</v>
      </c>
      <c r="P64" s="392">
        <v>64</v>
      </c>
      <c r="Q64" s="391">
        <v>66</v>
      </c>
      <c r="R64" s="392">
        <v>69</v>
      </c>
      <c r="S64" s="392">
        <v>72</v>
      </c>
      <c r="T64" s="392">
        <v>78</v>
      </c>
      <c r="U64" s="391">
        <v>81</v>
      </c>
      <c r="V64" s="392">
        <v>84</v>
      </c>
      <c r="AC64" s="380">
        <v>8</v>
      </c>
      <c r="AD64" s="384">
        <v>50</v>
      </c>
      <c r="AE64" s="384">
        <v>50</v>
      </c>
      <c r="AF64" s="384">
        <v>50</v>
      </c>
      <c r="AG64" s="384">
        <v>50</v>
      </c>
      <c r="AH64" s="384">
        <v>50</v>
      </c>
      <c r="AI64" s="384">
        <v>50</v>
      </c>
      <c r="AJ64" s="384">
        <v>53</v>
      </c>
      <c r="AK64" s="384">
        <v>53</v>
      </c>
      <c r="AL64" s="384">
        <v>56</v>
      </c>
      <c r="AM64" s="384">
        <v>58</v>
      </c>
      <c r="AN64" s="384">
        <v>60</v>
      </c>
      <c r="AO64" s="384">
        <v>60</v>
      </c>
      <c r="AP64" s="384">
        <v>62</v>
      </c>
      <c r="AQ64" s="384">
        <v>64</v>
      </c>
      <c r="AR64" s="384">
        <v>64</v>
      </c>
      <c r="AS64" s="384">
        <v>66</v>
      </c>
      <c r="AT64" s="384">
        <v>69</v>
      </c>
      <c r="AU64" s="384">
        <v>72</v>
      </c>
      <c r="AV64" s="384">
        <v>78</v>
      </c>
      <c r="AW64" s="384">
        <v>81</v>
      </c>
      <c r="AX64" s="384">
        <v>84</v>
      </c>
      <c r="BE64" s="380">
        <v>8</v>
      </c>
      <c r="BF64" s="384">
        <v>50</v>
      </c>
      <c r="BG64" s="384">
        <v>50</v>
      </c>
      <c r="BH64" s="384">
        <v>50</v>
      </c>
      <c r="BI64" s="384">
        <v>50</v>
      </c>
      <c r="BJ64" s="384">
        <v>50</v>
      </c>
      <c r="BK64" s="384">
        <v>50</v>
      </c>
      <c r="BL64" s="384">
        <v>53</v>
      </c>
      <c r="BM64" s="384">
        <v>56</v>
      </c>
      <c r="BN64" s="384">
        <v>56</v>
      </c>
      <c r="BO64" s="384">
        <v>58</v>
      </c>
      <c r="BP64" s="384">
        <v>60</v>
      </c>
      <c r="BQ64" s="384">
        <v>60</v>
      </c>
      <c r="BR64" s="384">
        <v>62</v>
      </c>
      <c r="BS64" s="384">
        <v>64</v>
      </c>
      <c r="BT64" s="384">
        <v>64</v>
      </c>
      <c r="BU64" s="384">
        <v>66</v>
      </c>
      <c r="BV64" s="384">
        <v>69</v>
      </c>
      <c r="BW64" s="384">
        <v>72</v>
      </c>
      <c r="BX64" s="384">
        <v>78</v>
      </c>
      <c r="BY64" s="384">
        <v>81</v>
      </c>
      <c r="BZ64" s="384">
        <v>84</v>
      </c>
      <c r="CG64" s="390">
        <v>8</v>
      </c>
      <c r="CH64" s="391">
        <v>50</v>
      </c>
      <c r="CI64" s="391">
        <v>50</v>
      </c>
      <c r="CJ64" s="391">
        <v>50</v>
      </c>
      <c r="CK64" s="391">
        <v>50</v>
      </c>
      <c r="CL64" s="391">
        <v>50</v>
      </c>
      <c r="CM64" s="391">
        <v>50</v>
      </c>
      <c r="CN64" s="391">
        <v>53</v>
      </c>
      <c r="CO64" s="391">
        <v>56</v>
      </c>
      <c r="CP64" s="391">
        <v>58</v>
      </c>
      <c r="CQ64" s="391">
        <v>58</v>
      </c>
      <c r="CR64" s="391">
        <v>60</v>
      </c>
      <c r="CS64" s="391">
        <v>60</v>
      </c>
      <c r="CT64" s="391">
        <v>62</v>
      </c>
      <c r="CU64" s="391">
        <v>64</v>
      </c>
      <c r="CV64" s="391">
        <v>64</v>
      </c>
      <c r="CW64" s="391">
        <v>66</v>
      </c>
      <c r="CX64" s="391">
        <v>69</v>
      </c>
      <c r="CY64" s="391">
        <v>72</v>
      </c>
      <c r="CZ64" s="391">
        <v>78</v>
      </c>
      <c r="DA64" s="391">
        <v>81</v>
      </c>
      <c r="DB64" s="391">
        <v>84</v>
      </c>
      <c r="DI64" s="380">
        <v>8</v>
      </c>
      <c r="DJ64" s="384">
        <v>50</v>
      </c>
      <c r="DK64" s="384">
        <v>50</v>
      </c>
      <c r="DL64" s="384">
        <v>50</v>
      </c>
      <c r="DM64" s="384">
        <v>50</v>
      </c>
      <c r="DN64" s="384">
        <v>50</v>
      </c>
      <c r="DO64" s="384">
        <v>53</v>
      </c>
      <c r="DP64" s="384">
        <v>53</v>
      </c>
      <c r="DQ64" s="384">
        <v>56</v>
      </c>
      <c r="DR64" s="384">
        <v>58</v>
      </c>
      <c r="DS64" s="384">
        <v>58</v>
      </c>
      <c r="DT64" s="384">
        <v>60</v>
      </c>
      <c r="DU64" s="384">
        <v>60</v>
      </c>
      <c r="DV64" s="384">
        <v>62</v>
      </c>
      <c r="DW64" s="384">
        <v>64</v>
      </c>
      <c r="DX64" s="384">
        <v>64</v>
      </c>
      <c r="DY64" s="384">
        <v>69</v>
      </c>
      <c r="DZ64" s="384">
        <v>72</v>
      </c>
      <c r="EA64" s="384">
        <v>78</v>
      </c>
      <c r="EB64" s="384">
        <v>81</v>
      </c>
      <c r="EC64" s="384">
        <v>84</v>
      </c>
      <c r="ED64" s="384">
        <v>87</v>
      </c>
    </row>
    <row r="65" spans="1:134" x14ac:dyDescent="0.15">
      <c r="A65" s="390">
        <v>9</v>
      </c>
      <c r="B65" s="391">
        <v>50</v>
      </c>
      <c r="C65" s="391">
        <v>50</v>
      </c>
      <c r="D65" s="391">
        <v>50</v>
      </c>
      <c r="E65" s="391">
        <v>50</v>
      </c>
      <c r="F65" s="391">
        <v>50</v>
      </c>
      <c r="G65" s="391">
        <v>50</v>
      </c>
      <c r="H65" s="391">
        <v>53</v>
      </c>
      <c r="I65" s="391">
        <v>53</v>
      </c>
      <c r="J65" s="391">
        <v>56</v>
      </c>
      <c r="K65" s="391">
        <v>58</v>
      </c>
      <c r="L65" s="391">
        <v>60</v>
      </c>
      <c r="M65" s="391">
        <v>60</v>
      </c>
      <c r="N65" s="391">
        <v>62</v>
      </c>
      <c r="O65" s="391">
        <v>64</v>
      </c>
      <c r="P65" s="391">
        <v>64</v>
      </c>
      <c r="Q65" s="391">
        <v>66</v>
      </c>
      <c r="R65" s="391">
        <v>69</v>
      </c>
      <c r="S65" s="391">
        <v>72</v>
      </c>
      <c r="T65" s="391">
        <v>78</v>
      </c>
      <c r="U65" s="391">
        <v>81</v>
      </c>
      <c r="V65" s="391">
        <v>84</v>
      </c>
      <c r="AC65" s="380">
        <v>9</v>
      </c>
      <c r="AD65" s="384">
        <v>50</v>
      </c>
      <c r="AE65" s="384">
        <v>50</v>
      </c>
      <c r="AF65" s="384">
        <v>50</v>
      </c>
      <c r="AG65" s="384">
        <v>50</v>
      </c>
      <c r="AH65" s="384">
        <v>50</v>
      </c>
      <c r="AI65" s="384">
        <v>50</v>
      </c>
      <c r="AJ65" s="384">
        <v>53</v>
      </c>
      <c r="AK65" s="384">
        <v>53</v>
      </c>
      <c r="AL65" s="384">
        <v>56</v>
      </c>
      <c r="AM65" s="384">
        <v>58</v>
      </c>
      <c r="AN65" s="384">
        <v>60</v>
      </c>
      <c r="AO65" s="384">
        <v>60</v>
      </c>
      <c r="AP65" s="384">
        <v>62</v>
      </c>
      <c r="AQ65" s="384">
        <v>64</v>
      </c>
      <c r="AR65" s="384">
        <v>64</v>
      </c>
      <c r="AS65" s="384">
        <v>66</v>
      </c>
      <c r="AT65" s="384">
        <v>69</v>
      </c>
      <c r="AU65" s="384">
        <v>72</v>
      </c>
      <c r="AV65" s="384">
        <v>78</v>
      </c>
      <c r="AW65" s="384">
        <v>81</v>
      </c>
      <c r="AX65" s="384">
        <v>84</v>
      </c>
      <c r="BE65" s="380">
        <v>9</v>
      </c>
      <c r="BF65" s="384">
        <v>50</v>
      </c>
      <c r="BG65" s="384">
        <v>50</v>
      </c>
      <c r="BH65" s="384">
        <v>50</v>
      </c>
      <c r="BI65" s="384">
        <v>50</v>
      </c>
      <c r="BJ65" s="384">
        <v>50</v>
      </c>
      <c r="BK65" s="384">
        <v>50</v>
      </c>
      <c r="BL65" s="384">
        <v>53</v>
      </c>
      <c r="BM65" s="384">
        <v>56</v>
      </c>
      <c r="BN65" s="384">
        <v>56</v>
      </c>
      <c r="BO65" s="384">
        <v>58</v>
      </c>
      <c r="BP65" s="384">
        <v>60</v>
      </c>
      <c r="BQ65" s="384">
        <v>60</v>
      </c>
      <c r="BR65" s="384">
        <v>62</v>
      </c>
      <c r="BS65" s="384">
        <v>64</v>
      </c>
      <c r="BT65" s="384">
        <v>64</v>
      </c>
      <c r="BU65" s="384">
        <v>66</v>
      </c>
      <c r="BV65" s="384">
        <v>69</v>
      </c>
      <c r="BW65" s="384">
        <v>72</v>
      </c>
      <c r="BX65" s="384">
        <v>78</v>
      </c>
      <c r="BY65" s="384">
        <v>81</v>
      </c>
      <c r="BZ65" s="384">
        <v>84</v>
      </c>
      <c r="CG65" s="390">
        <v>9</v>
      </c>
      <c r="CH65" s="391">
        <v>50</v>
      </c>
      <c r="CI65" s="391">
        <v>50</v>
      </c>
      <c r="CJ65" s="391">
        <v>50</v>
      </c>
      <c r="CK65" s="391">
        <v>50</v>
      </c>
      <c r="CL65" s="391">
        <v>50</v>
      </c>
      <c r="CM65" s="391">
        <v>50</v>
      </c>
      <c r="CN65" s="391">
        <v>53</v>
      </c>
      <c r="CO65" s="391">
        <v>56</v>
      </c>
      <c r="CP65" s="391">
        <v>58</v>
      </c>
      <c r="CQ65" s="391">
        <v>58</v>
      </c>
      <c r="CR65" s="391">
        <v>60</v>
      </c>
      <c r="CS65" s="391">
        <v>60</v>
      </c>
      <c r="CT65" s="391">
        <v>62</v>
      </c>
      <c r="CU65" s="391">
        <v>64</v>
      </c>
      <c r="CV65" s="391">
        <v>64</v>
      </c>
      <c r="CW65" s="391">
        <v>66</v>
      </c>
      <c r="CX65" s="391">
        <v>69</v>
      </c>
      <c r="CY65" s="391">
        <v>72</v>
      </c>
      <c r="CZ65" s="391">
        <v>78</v>
      </c>
      <c r="DA65" s="391">
        <v>81</v>
      </c>
      <c r="DB65" s="391">
        <v>84</v>
      </c>
      <c r="DI65" s="380">
        <v>9</v>
      </c>
      <c r="DJ65" s="384">
        <v>50</v>
      </c>
      <c r="DK65" s="384">
        <v>50</v>
      </c>
      <c r="DL65" s="384">
        <v>50</v>
      </c>
      <c r="DM65" s="384">
        <v>50</v>
      </c>
      <c r="DN65" s="384">
        <v>50</v>
      </c>
      <c r="DO65" s="384">
        <v>53</v>
      </c>
      <c r="DP65" s="384">
        <v>53</v>
      </c>
      <c r="DQ65" s="384">
        <v>56</v>
      </c>
      <c r="DR65" s="384">
        <v>58</v>
      </c>
      <c r="DS65" s="384">
        <v>58</v>
      </c>
      <c r="DT65" s="384">
        <v>60</v>
      </c>
      <c r="DU65" s="384">
        <v>60</v>
      </c>
      <c r="DV65" s="384">
        <v>62</v>
      </c>
      <c r="DW65" s="384">
        <v>64</v>
      </c>
      <c r="DX65" s="384">
        <v>64</v>
      </c>
      <c r="DY65" s="384">
        <v>69</v>
      </c>
      <c r="DZ65" s="384">
        <v>72</v>
      </c>
      <c r="EA65" s="384">
        <v>78</v>
      </c>
      <c r="EB65" s="384">
        <v>81</v>
      </c>
      <c r="EC65" s="384">
        <v>84</v>
      </c>
      <c r="ED65" s="384">
        <v>87</v>
      </c>
    </row>
    <row r="66" spans="1:134" x14ac:dyDescent="0.15">
      <c r="A66" s="390">
        <v>10</v>
      </c>
      <c r="B66" s="391">
        <v>50</v>
      </c>
      <c r="C66" s="391">
        <v>50</v>
      </c>
      <c r="D66" s="391">
        <v>50</v>
      </c>
      <c r="E66" s="391">
        <v>50</v>
      </c>
      <c r="F66" s="391">
        <v>50</v>
      </c>
      <c r="G66" s="391">
        <v>50</v>
      </c>
      <c r="H66" s="391">
        <v>53</v>
      </c>
      <c r="I66" s="391">
        <v>53</v>
      </c>
      <c r="J66" s="391">
        <v>56</v>
      </c>
      <c r="K66" s="391">
        <v>58</v>
      </c>
      <c r="L66" s="391">
        <v>60</v>
      </c>
      <c r="M66" s="391">
        <v>60</v>
      </c>
      <c r="N66" s="391">
        <v>62</v>
      </c>
      <c r="O66" s="391">
        <v>64</v>
      </c>
      <c r="P66" s="391">
        <v>64</v>
      </c>
      <c r="Q66" s="391">
        <v>66</v>
      </c>
      <c r="R66" s="391">
        <v>69</v>
      </c>
      <c r="S66" s="391">
        <v>72</v>
      </c>
      <c r="T66" s="391">
        <v>78</v>
      </c>
      <c r="U66" s="391">
        <v>81</v>
      </c>
      <c r="V66" s="391">
        <v>84</v>
      </c>
      <c r="AC66" s="380">
        <v>10</v>
      </c>
      <c r="AD66" s="384">
        <v>50</v>
      </c>
      <c r="AE66" s="384">
        <v>50</v>
      </c>
      <c r="AF66" s="384">
        <v>50</v>
      </c>
      <c r="AG66" s="384">
        <v>50</v>
      </c>
      <c r="AH66" s="384">
        <v>50</v>
      </c>
      <c r="AI66" s="384">
        <v>50</v>
      </c>
      <c r="AJ66" s="384">
        <v>53</v>
      </c>
      <c r="AK66" s="384">
        <v>53</v>
      </c>
      <c r="AL66" s="384">
        <v>56</v>
      </c>
      <c r="AM66" s="384">
        <v>58</v>
      </c>
      <c r="AN66" s="384">
        <v>60</v>
      </c>
      <c r="AO66" s="384">
        <v>60</v>
      </c>
      <c r="AP66" s="384">
        <v>62</v>
      </c>
      <c r="AQ66" s="384">
        <v>64</v>
      </c>
      <c r="AR66" s="384">
        <v>64</v>
      </c>
      <c r="AS66" s="384">
        <v>66</v>
      </c>
      <c r="AT66" s="384">
        <v>69</v>
      </c>
      <c r="AU66" s="384">
        <v>72</v>
      </c>
      <c r="AV66" s="384">
        <v>78</v>
      </c>
      <c r="AW66" s="384">
        <v>81</v>
      </c>
      <c r="AX66" s="384">
        <v>84</v>
      </c>
      <c r="BE66" s="380">
        <v>10</v>
      </c>
      <c r="BF66" s="384">
        <v>50</v>
      </c>
      <c r="BG66" s="384">
        <v>50</v>
      </c>
      <c r="BH66" s="384">
        <v>50</v>
      </c>
      <c r="BI66" s="384">
        <v>50</v>
      </c>
      <c r="BJ66" s="384">
        <v>50</v>
      </c>
      <c r="BK66" s="384">
        <v>50</v>
      </c>
      <c r="BL66" s="384">
        <v>53</v>
      </c>
      <c r="BM66" s="384">
        <v>56</v>
      </c>
      <c r="BN66" s="384">
        <v>56</v>
      </c>
      <c r="BO66" s="384">
        <v>58</v>
      </c>
      <c r="BP66" s="384">
        <v>60</v>
      </c>
      <c r="BQ66" s="384">
        <v>60</v>
      </c>
      <c r="BR66" s="384">
        <v>62</v>
      </c>
      <c r="BS66" s="384">
        <v>64</v>
      </c>
      <c r="BT66" s="384">
        <v>64</v>
      </c>
      <c r="BU66" s="384">
        <v>66</v>
      </c>
      <c r="BV66" s="384">
        <v>69</v>
      </c>
      <c r="BW66" s="384">
        <v>72</v>
      </c>
      <c r="BX66" s="384">
        <v>78</v>
      </c>
      <c r="BY66" s="384">
        <v>81</v>
      </c>
      <c r="BZ66" s="384">
        <v>84</v>
      </c>
      <c r="CG66" s="390">
        <v>10</v>
      </c>
      <c r="CH66" s="391">
        <v>50</v>
      </c>
      <c r="CI66" s="391">
        <v>50</v>
      </c>
      <c r="CJ66" s="391">
        <v>50</v>
      </c>
      <c r="CK66" s="391">
        <v>50</v>
      </c>
      <c r="CL66" s="391">
        <v>50</v>
      </c>
      <c r="CM66" s="391">
        <v>50</v>
      </c>
      <c r="CN66" s="391">
        <v>53</v>
      </c>
      <c r="CO66" s="391">
        <v>56</v>
      </c>
      <c r="CP66" s="391">
        <v>58</v>
      </c>
      <c r="CQ66" s="391">
        <v>58</v>
      </c>
      <c r="CR66" s="391">
        <v>60</v>
      </c>
      <c r="CS66" s="391">
        <v>60</v>
      </c>
      <c r="CT66" s="391">
        <v>62</v>
      </c>
      <c r="CU66" s="391">
        <v>64</v>
      </c>
      <c r="CV66" s="391">
        <v>64</v>
      </c>
      <c r="CW66" s="391">
        <v>66</v>
      </c>
      <c r="CX66" s="391">
        <v>69</v>
      </c>
      <c r="CY66" s="391">
        <v>72</v>
      </c>
      <c r="CZ66" s="391">
        <v>78</v>
      </c>
      <c r="DA66" s="391">
        <v>81</v>
      </c>
      <c r="DB66" s="391">
        <v>84</v>
      </c>
      <c r="DI66" s="380">
        <v>10</v>
      </c>
      <c r="DJ66" s="384">
        <v>53</v>
      </c>
      <c r="DK66" s="384">
        <v>53</v>
      </c>
      <c r="DL66" s="384">
        <v>53</v>
      </c>
      <c r="DM66" s="384">
        <v>53</v>
      </c>
      <c r="DN66" s="384">
        <v>53</v>
      </c>
      <c r="DO66" s="384">
        <v>56</v>
      </c>
      <c r="DP66" s="384">
        <v>56</v>
      </c>
      <c r="DQ66" s="384">
        <v>58</v>
      </c>
      <c r="DR66" s="384">
        <v>60</v>
      </c>
      <c r="DS66" s="384">
        <v>60</v>
      </c>
      <c r="DT66" s="384">
        <v>62</v>
      </c>
      <c r="DU66" s="384">
        <v>62</v>
      </c>
      <c r="DV66" s="384">
        <v>64</v>
      </c>
      <c r="DW66" s="384">
        <v>66</v>
      </c>
      <c r="DX66" s="384">
        <v>66</v>
      </c>
      <c r="DY66" s="384">
        <v>72</v>
      </c>
      <c r="DZ66" s="384">
        <v>75</v>
      </c>
      <c r="EA66" s="384">
        <v>81</v>
      </c>
      <c r="EB66" s="384">
        <v>84</v>
      </c>
      <c r="EC66" s="384">
        <v>87</v>
      </c>
      <c r="ED66" s="384">
        <v>89</v>
      </c>
    </row>
    <row r="67" spans="1:134" x14ac:dyDescent="0.15">
      <c r="A67" s="390">
        <v>11</v>
      </c>
      <c r="B67" s="392">
        <v>50</v>
      </c>
      <c r="C67" s="392">
        <v>50</v>
      </c>
      <c r="D67" s="392">
        <v>50</v>
      </c>
      <c r="E67" s="392">
        <v>50</v>
      </c>
      <c r="F67" s="392">
        <v>50</v>
      </c>
      <c r="G67" s="392">
        <v>50</v>
      </c>
      <c r="H67" s="392">
        <v>53</v>
      </c>
      <c r="I67" s="392">
        <v>53</v>
      </c>
      <c r="J67" s="392">
        <v>56</v>
      </c>
      <c r="K67" s="392">
        <v>58</v>
      </c>
      <c r="L67" s="391">
        <v>60</v>
      </c>
      <c r="M67" s="391">
        <v>60</v>
      </c>
      <c r="N67" s="391">
        <v>62</v>
      </c>
      <c r="O67" s="392">
        <v>64</v>
      </c>
      <c r="P67" s="392">
        <v>64</v>
      </c>
      <c r="Q67" s="391">
        <v>66</v>
      </c>
      <c r="R67" s="392">
        <v>69</v>
      </c>
      <c r="S67" s="392">
        <v>72</v>
      </c>
      <c r="T67" s="392">
        <v>78</v>
      </c>
      <c r="U67" s="391">
        <v>81</v>
      </c>
      <c r="V67" s="392">
        <v>84</v>
      </c>
      <c r="AC67" s="380">
        <v>11</v>
      </c>
      <c r="AD67" s="384">
        <v>50</v>
      </c>
      <c r="AE67" s="384">
        <v>50</v>
      </c>
      <c r="AF67" s="384">
        <v>50</v>
      </c>
      <c r="AG67" s="384">
        <v>50</v>
      </c>
      <c r="AH67" s="384">
        <v>50</v>
      </c>
      <c r="AI67" s="384">
        <v>50</v>
      </c>
      <c r="AJ67" s="384">
        <v>53</v>
      </c>
      <c r="AK67" s="384">
        <v>53</v>
      </c>
      <c r="AL67" s="384">
        <v>56</v>
      </c>
      <c r="AM67" s="384">
        <v>58</v>
      </c>
      <c r="AN67" s="384">
        <v>60</v>
      </c>
      <c r="AO67" s="384">
        <v>60</v>
      </c>
      <c r="AP67" s="384">
        <v>62</v>
      </c>
      <c r="AQ67" s="384">
        <v>64</v>
      </c>
      <c r="AR67" s="384">
        <v>64</v>
      </c>
      <c r="AS67" s="384">
        <v>66</v>
      </c>
      <c r="AT67" s="384">
        <v>69</v>
      </c>
      <c r="AU67" s="384">
        <v>72</v>
      </c>
      <c r="AV67" s="384">
        <v>78</v>
      </c>
      <c r="AW67" s="384">
        <v>81</v>
      </c>
      <c r="AX67" s="384">
        <v>84</v>
      </c>
      <c r="BE67" s="380">
        <v>11</v>
      </c>
      <c r="BF67" s="384">
        <v>53</v>
      </c>
      <c r="BG67" s="384">
        <v>53</v>
      </c>
      <c r="BH67" s="384">
        <v>53</v>
      </c>
      <c r="BI67" s="384">
        <v>53</v>
      </c>
      <c r="BJ67" s="384">
        <v>53</v>
      </c>
      <c r="BK67" s="384">
        <v>53</v>
      </c>
      <c r="BL67" s="384">
        <v>56</v>
      </c>
      <c r="BM67" s="384">
        <v>58</v>
      </c>
      <c r="BN67" s="384">
        <v>58</v>
      </c>
      <c r="BO67" s="384">
        <v>60</v>
      </c>
      <c r="BP67" s="384">
        <v>62</v>
      </c>
      <c r="BQ67" s="384">
        <v>62</v>
      </c>
      <c r="BR67" s="384">
        <v>64</v>
      </c>
      <c r="BS67" s="384">
        <v>66</v>
      </c>
      <c r="BT67" s="384">
        <v>66</v>
      </c>
      <c r="BU67" s="384">
        <v>69</v>
      </c>
      <c r="BV67" s="384">
        <v>72</v>
      </c>
      <c r="BW67" s="384">
        <v>75</v>
      </c>
      <c r="BX67" s="384">
        <v>81</v>
      </c>
      <c r="BY67" s="384">
        <v>84</v>
      </c>
      <c r="BZ67" s="384">
        <v>87</v>
      </c>
      <c r="CG67" s="390">
        <v>11</v>
      </c>
      <c r="CH67" s="391">
        <v>53</v>
      </c>
      <c r="CI67" s="391">
        <v>53</v>
      </c>
      <c r="CJ67" s="391">
        <v>53</v>
      </c>
      <c r="CK67" s="391">
        <v>53</v>
      </c>
      <c r="CL67" s="391">
        <v>53</v>
      </c>
      <c r="CM67" s="391">
        <v>53</v>
      </c>
      <c r="CN67" s="391">
        <v>56</v>
      </c>
      <c r="CO67" s="391">
        <v>58</v>
      </c>
      <c r="CP67" s="391">
        <v>60</v>
      </c>
      <c r="CQ67" s="391">
        <v>60</v>
      </c>
      <c r="CR67" s="391">
        <v>62</v>
      </c>
      <c r="CS67" s="391">
        <v>62</v>
      </c>
      <c r="CT67" s="391">
        <v>64</v>
      </c>
      <c r="CU67" s="391">
        <v>66</v>
      </c>
      <c r="CV67" s="391">
        <v>66</v>
      </c>
      <c r="CW67" s="391">
        <v>69</v>
      </c>
      <c r="CX67" s="391">
        <v>72</v>
      </c>
      <c r="CY67" s="391">
        <v>75</v>
      </c>
      <c r="CZ67" s="391">
        <v>81</v>
      </c>
      <c r="DA67" s="391">
        <v>84</v>
      </c>
      <c r="DB67" s="391">
        <v>87</v>
      </c>
      <c r="DI67" s="380">
        <v>11</v>
      </c>
      <c r="DJ67" s="384">
        <v>53</v>
      </c>
      <c r="DK67" s="384">
        <v>53</v>
      </c>
      <c r="DL67" s="384">
        <v>53</v>
      </c>
      <c r="DM67" s="384">
        <v>53</v>
      </c>
      <c r="DN67" s="384">
        <v>53</v>
      </c>
      <c r="DO67" s="384">
        <v>56</v>
      </c>
      <c r="DP67" s="384">
        <v>56</v>
      </c>
      <c r="DQ67" s="384">
        <v>58</v>
      </c>
      <c r="DR67" s="384">
        <v>60</v>
      </c>
      <c r="DS67" s="384">
        <v>60</v>
      </c>
      <c r="DT67" s="384">
        <v>62</v>
      </c>
      <c r="DU67" s="384">
        <v>62</v>
      </c>
      <c r="DV67" s="384">
        <v>64</v>
      </c>
      <c r="DW67" s="384">
        <v>66</v>
      </c>
      <c r="DX67" s="384">
        <v>66</v>
      </c>
      <c r="DY67" s="384">
        <v>72</v>
      </c>
      <c r="DZ67" s="384">
        <v>75</v>
      </c>
      <c r="EA67" s="384">
        <v>81</v>
      </c>
      <c r="EB67" s="384">
        <v>84</v>
      </c>
      <c r="EC67" s="384">
        <v>87</v>
      </c>
      <c r="ED67" s="384">
        <v>89</v>
      </c>
    </row>
    <row r="68" spans="1:134" x14ac:dyDescent="0.15">
      <c r="A68" s="390">
        <v>12</v>
      </c>
      <c r="B68" s="392">
        <v>50</v>
      </c>
      <c r="C68" s="392">
        <v>50</v>
      </c>
      <c r="D68" s="392">
        <v>50</v>
      </c>
      <c r="E68" s="392">
        <v>50</v>
      </c>
      <c r="F68" s="392">
        <v>50</v>
      </c>
      <c r="G68" s="392">
        <v>50</v>
      </c>
      <c r="H68" s="392">
        <v>53</v>
      </c>
      <c r="I68" s="392">
        <v>53</v>
      </c>
      <c r="J68" s="392">
        <v>56</v>
      </c>
      <c r="K68" s="392">
        <v>58</v>
      </c>
      <c r="L68" s="391">
        <v>60</v>
      </c>
      <c r="M68" s="391">
        <v>60</v>
      </c>
      <c r="N68" s="391">
        <v>62</v>
      </c>
      <c r="O68" s="392">
        <v>64</v>
      </c>
      <c r="P68" s="392">
        <v>64</v>
      </c>
      <c r="Q68" s="391">
        <v>66</v>
      </c>
      <c r="R68" s="392">
        <v>69</v>
      </c>
      <c r="S68" s="392">
        <v>72</v>
      </c>
      <c r="T68" s="392">
        <v>78</v>
      </c>
      <c r="U68" s="391">
        <v>81</v>
      </c>
      <c r="V68" s="392">
        <v>84</v>
      </c>
      <c r="AC68" s="380">
        <v>12</v>
      </c>
      <c r="AD68" s="384">
        <v>53</v>
      </c>
      <c r="AE68" s="384">
        <v>53</v>
      </c>
      <c r="AF68" s="384">
        <v>53</v>
      </c>
      <c r="AG68" s="384">
        <v>53</v>
      </c>
      <c r="AH68" s="384">
        <v>53</v>
      </c>
      <c r="AI68" s="384">
        <v>53</v>
      </c>
      <c r="AJ68" s="384">
        <v>56</v>
      </c>
      <c r="AK68" s="384">
        <v>56</v>
      </c>
      <c r="AL68" s="384">
        <v>58</v>
      </c>
      <c r="AM68" s="384">
        <v>60</v>
      </c>
      <c r="AN68" s="384">
        <v>62</v>
      </c>
      <c r="AO68" s="384">
        <v>62</v>
      </c>
      <c r="AP68" s="384">
        <v>64</v>
      </c>
      <c r="AQ68" s="384">
        <v>66</v>
      </c>
      <c r="AR68" s="384">
        <v>66</v>
      </c>
      <c r="AS68" s="384">
        <v>69</v>
      </c>
      <c r="AT68" s="384">
        <v>72</v>
      </c>
      <c r="AU68" s="384">
        <v>75</v>
      </c>
      <c r="AV68" s="384">
        <v>81</v>
      </c>
      <c r="AW68" s="384">
        <v>84</v>
      </c>
      <c r="AX68" s="384">
        <v>87</v>
      </c>
      <c r="BE68" s="380">
        <v>12</v>
      </c>
      <c r="BF68" s="384">
        <v>53</v>
      </c>
      <c r="BG68" s="384">
        <v>53</v>
      </c>
      <c r="BH68" s="384">
        <v>53</v>
      </c>
      <c r="BI68" s="384">
        <v>53</v>
      </c>
      <c r="BJ68" s="384">
        <v>53</v>
      </c>
      <c r="BK68" s="384">
        <v>53</v>
      </c>
      <c r="BL68" s="384">
        <v>56</v>
      </c>
      <c r="BM68" s="384">
        <v>58</v>
      </c>
      <c r="BN68" s="384">
        <v>58</v>
      </c>
      <c r="BO68" s="384">
        <v>60</v>
      </c>
      <c r="BP68" s="384">
        <v>62</v>
      </c>
      <c r="BQ68" s="384">
        <v>62</v>
      </c>
      <c r="BR68" s="384">
        <v>64</v>
      </c>
      <c r="BS68" s="384">
        <v>66</v>
      </c>
      <c r="BT68" s="384">
        <v>66</v>
      </c>
      <c r="BU68" s="384">
        <v>69</v>
      </c>
      <c r="BV68" s="384">
        <v>72</v>
      </c>
      <c r="BW68" s="384">
        <v>75</v>
      </c>
      <c r="BX68" s="384">
        <v>81</v>
      </c>
      <c r="BY68" s="384">
        <v>84</v>
      </c>
      <c r="BZ68" s="384">
        <v>87</v>
      </c>
      <c r="CG68" s="390">
        <v>12</v>
      </c>
      <c r="CH68" s="391">
        <v>56</v>
      </c>
      <c r="CI68" s="391">
        <v>56</v>
      </c>
      <c r="CJ68" s="391">
        <v>56</v>
      </c>
      <c r="CK68" s="391">
        <v>56</v>
      </c>
      <c r="CL68" s="391">
        <v>56</v>
      </c>
      <c r="CM68" s="391">
        <v>56</v>
      </c>
      <c r="CN68" s="391">
        <v>58</v>
      </c>
      <c r="CO68" s="391">
        <v>60</v>
      </c>
      <c r="CP68" s="391">
        <v>62</v>
      </c>
      <c r="CQ68" s="391">
        <v>62</v>
      </c>
      <c r="CR68" s="391">
        <v>64</v>
      </c>
      <c r="CS68" s="391">
        <v>64</v>
      </c>
      <c r="CT68" s="391">
        <v>66</v>
      </c>
      <c r="CU68" s="391">
        <v>69</v>
      </c>
      <c r="CV68" s="391">
        <v>69</v>
      </c>
      <c r="CW68" s="391">
        <v>72</v>
      </c>
      <c r="CX68" s="391">
        <v>75</v>
      </c>
      <c r="CY68" s="391">
        <v>78</v>
      </c>
      <c r="CZ68" s="391">
        <v>84</v>
      </c>
      <c r="DA68" s="391">
        <v>87</v>
      </c>
      <c r="DB68" s="391">
        <v>89</v>
      </c>
      <c r="DI68" s="380">
        <v>12</v>
      </c>
      <c r="DJ68" s="384">
        <v>56</v>
      </c>
      <c r="DK68" s="384">
        <v>56</v>
      </c>
      <c r="DL68" s="384">
        <v>56</v>
      </c>
      <c r="DM68" s="384">
        <v>56</v>
      </c>
      <c r="DN68" s="384">
        <v>56</v>
      </c>
      <c r="DO68" s="384">
        <v>58</v>
      </c>
      <c r="DP68" s="384">
        <v>58</v>
      </c>
      <c r="DQ68" s="384">
        <v>60</v>
      </c>
      <c r="DR68" s="384">
        <v>62</v>
      </c>
      <c r="DS68" s="384">
        <v>62</v>
      </c>
      <c r="DT68" s="384">
        <v>64</v>
      </c>
      <c r="DU68" s="384">
        <v>64</v>
      </c>
      <c r="DV68" s="384">
        <v>66</v>
      </c>
      <c r="DW68" s="384">
        <v>69</v>
      </c>
      <c r="DX68" s="384">
        <v>69</v>
      </c>
      <c r="DY68" s="384">
        <v>75</v>
      </c>
      <c r="DZ68" s="384">
        <v>78</v>
      </c>
      <c r="EA68" s="384">
        <v>84</v>
      </c>
      <c r="EB68" s="384">
        <v>87</v>
      </c>
      <c r="EC68" s="384">
        <v>89</v>
      </c>
      <c r="ED68" s="384">
        <v>92</v>
      </c>
    </row>
    <row r="69" spans="1:134" x14ac:dyDescent="0.15">
      <c r="A69" s="389">
        <v>13</v>
      </c>
      <c r="B69" s="392">
        <v>50</v>
      </c>
      <c r="C69" s="392">
        <v>50</v>
      </c>
      <c r="D69" s="392">
        <v>50</v>
      </c>
      <c r="E69" s="392">
        <v>50</v>
      </c>
      <c r="F69" s="392">
        <v>50</v>
      </c>
      <c r="G69" s="392">
        <v>50</v>
      </c>
      <c r="H69" s="392">
        <v>53</v>
      </c>
      <c r="I69" s="392">
        <v>53</v>
      </c>
      <c r="J69" s="392">
        <v>56</v>
      </c>
      <c r="K69" s="392">
        <v>58</v>
      </c>
      <c r="L69" s="391">
        <v>60</v>
      </c>
      <c r="M69" s="391">
        <v>60</v>
      </c>
      <c r="N69" s="391">
        <v>62</v>
      </c>
      <c r="O69" s="392">
        <v>64</v>
      </c>
      <c r="P69" s="392">
        <v>64</v>
      </c>
      <c r="Q69" s="391">
        <v>66</v>
      </c>
      <c r="R69" s="392">
        <v>69</v>
      </c>
      <c r="S69" s="392">
        <v>72</v>
      </c>
      <c r="T69" s="392">
        <v>78</v>
      </c>
      <c r="U69" s="391">
        <v>81</v>
      </c>
      <c r="V69" s="392">
        <v>84</v>
      </c>
      <c r="AC69" s="380">
        <v>13</v>
      </c>
      <c r="AD69" s="384">
        <v>56</v>
      </c>
      <c r="AE69" s="384">
        <v>56</v>
      </c>
      <c r="AF69" s="384">
        <v>56</v>
      </c>
      <c r="AG69" s="384">
        <v>56</v>
      </c>
      <c r="AH69" s="384">
        <v>56</v>
      </c>
      <c r="AI69" s="384">
        <v>56</v>
      </c>
      <c r="AJ69" s="384">
        <v>58</v>
      </c>
      <c r="AK69" s="384">
        <v>58</v>
      </c>
      <c r="AL69" s="384">
        <v>60</v>
      </c>
      <c r="AM69" s="384">
        <v>62</v>
      </c>
      <c r="AN69" s="384">
        <v>64</v>
      </c>
      <c r="AO69" s="384">
        <v>64</v>
      </c>
      <c r="AP69" s="384">
        <v>66</v>
      </c>
      <c r="AQ69" s="384">
        <v>69</v>
      </c>
      <c r="AR69" s="384">
        <v>69</v>
      </c>
      <c r="AS69" s="384">
        <v>72</v>
      </c>
      <c r="AT69" s="384">
        <v>75</v>
      </c>
      <c r="AU69" s="384">
        <v>78</v>
      </c>
      <c r="AV69" s="384">
        <v>84</v>
      </c>
      <c r="AW69" s="384">
        <v>87</v>
      </c>
      <c r="AX69" s="384">
        <v>89</v>
      </c>
      <c r="BE69" s="380">
        <v>13</v>
      </c>
      <c r="BF69" s="384">
        <v>56</v>
      </c>
      <c r="BG69" s="384">
        <v>56</v>
      </c>
      <c r="BH69" s="384">
        <v>56</v>
      </c>
      <c r="BI69" s="384">
        <v>56</v>
      </c>
      <c r="BJ69" s="384">
        <v>56</v>
      </c>
      <c r="BK69" s="384">
        <v>56</v>
      </c>
      <c r="BL69" s="384">
        <v>58</v>
      </c>
      <c r="BM69" s="384">
        <v>60</v>
      </c>
      <c r="BN69" s="384">
        <v>60</v>
      </c>
      <c r="BO69" s="384">
        <v>62</v>
      </c>
      <c r="BP69" s="384">
        <v>64</v>
      </c>
      <c r="BQ69" s="384">
        <v>64</v>
      </c>
      <c r="BR69" s="384">
        <v>66</v>
      </c>
      <c r="BS69" s="384">
        <v>69</v>
      </c>
      <c r="BT69" s="384">
        <v>69</v>
      </c>
      <c r="BU69" s="384">
        <v>72</v>
      </c>
      <c r="BV69" s="384">
        <v>75</v>
      </c>
      <c r="BW69" s="384">
        <v>78</v>
      </c>
      <c r="BX69" s="384">
        <v>84</v>
      </c>
      <c r="BY69" s="384">
        <v>87</v>
      </c>
      <c r="BZ69" s="384">
        <v>89</v>
      </c>
      <c r="CG69" s="390">
        <v>13</v>
      </c>
      <c r="CH69" s="391">
        <v>58</v>
      </c>
      <c r="CI69" s="391">
        <v>58</v>
      </c>
      <c r="CJ69" s="391">
        <v>58</v>
      </c>
      <c r="CK69" s="391">
        <v>58</v>
      </c>
      <c r="CL69" s="391">
        <v>58</v>
      </c>
      <c r="CM69" s="391">
        <v>58</v>
      </c>
      <c r="CN69" s="391">
        <v>60</v>
      </c>
      <c r="CO69" s="391">
        <v>62</v>
      </c>
      <c r="CP69" s="391">
        <v>64</v>
      </c>
      <c r="CQ69" s="391">
        <v>64</v>
      </c>
      <c r="CR69" s="391">
        <v>66</v>
      </c>
      <c r="CS69" s="391">
        <v>66</v>
      </c>
      <c r="CT69" s="391">
        <v>69</v>
      </c>
      <c r="CU69" s="391">
        <v>72</v>
      </c>
      <c r="CV69" s="391">
        <v>72</v>
      </c>
      <c r="CW69" s="391">
        <v>75</v>
      </c>
      <c r="CX69" s="391">
        <v>78</v>
      </c>
      <c r="CY69" s="391">
        <v>81</v>
      </c>
      <c r="CZ69" s="391">
        <v>87</v>
      </c>
      <c r="DA69" s="391">
        <v>89</v>
      </c>
      <c r="DB69" s="391">
        <v>92</v>
      </c>
      <c r="DI69" s="380">
        <v>13</v>
      </c>
      <c r="DJ69" s="384">
        <v>58</v>
      </c>
      <c r="DK69" s="384">
        <v>58</v>
      </c>
      <c r="DL69" s="384">
        <v>58</v>
      </c>
      <c r="DM69" s="384">
        <v>58</v>
      </c>
      <c r="DN69" s="384">
        <v>58</v>
      </c>
      <c r="DO69" s="384">
        <v>60</v>
      </c>
      <c r="DP69" s="384">
        <v>60</v>
      </c>
      <c r="DQ69" s="384">
        <v>62</v>
      </c>
      <c r="DR69" s="384">
        <v>64</v>
      </c>
      <c r="DS69" s="384">
        <v>64</v>
      </c>
      <c r="DT69" s="384">
        <v>66</v>
      </c>
      <c r="DU69" s="384">
        <v>66</v>
      </c>
      <c r="DV69" s="384">
        <v>69</v>
      </c>
      <c r="DW69" s="384">
        <v>72</v>
      </c>
      <c r="DX69" s="384">
        <v>72</v>
      </c>
      <c r="DY69" s="384">
        <v>78</v>
      </c>
      <c r="DZ69" s="384">
        <v>81</v>
      </c>
      <c r="EA69" s="384">
        <v>87</v>
      </c>
      <c r="EB69" s="384">
        <v>89</v>
      </c>
      <c r="EC69" s="384">
        <v>92</v>
      </c>
      <c r="ED69" s="384">
        <v>96</v>
      </c>
    </row>
    <row r="70" spans="1:134" x14ac:dyDescent="0.15">
      <c r="A70" s="389">
        <v>14</v>
      </c>
      <c r="B70" s="392">
        <v>50</v>
      </c>
      <c r="C70" s="392">
        <v>50</v>
      </c>
      <c r="D70" s="392">
        <v>50</v>
      </c>
      <c r="E70" s="392">
        <v>50</v>
      </c>
      <c r="F70" s="392">
        <v>50</v>
      </c>
      <c r="G70" s="392">
        <v>50</v>
      </c>
      <c r="H70" s="392">
        <v>53</v>
      </c>
      <c r="I70" s="392">
        <v>53</v>
      </c>
      <c r="J70" s="392">
        <v>56</v>
      </c>
      <c r="K70" s="392">
        <v>58</v>
      </c>
      <c r="L70" s="391">
        <v>60</v>
      </c>
      <c r="M70" s="391">
        <v>60</v>
      </c>
      <c r="N70" s="391">
        <v>62</v>
      </c>
      <c r="O70" s="392">
        <v>64</v>
      </c>
      <c r="P70" s="392">
        <v>64</v>
      </c>
      <c r="Q70" s="391">
        <v>66</v>
      </c>
      <c r="R70" s="392">
        <v>69</v>
      </c>
      <c r="S70" s="392">
        <v>72</v>
      </c>
      <c r="T70" s="392">
        <v>78</v>
      </c>
      <c r="U70" s="391">
        <v>81</v>
      </c>
      <c r="V70" s="392">
        <v>84</v>
      </c>
      <c r="AC70" s="380">
        <v>14</v>
      </c>
      <c r="AD70" s="384">
        <v>58</v>
      </c>
      <c r="AE70" s="384">
        <v>58</v>
      </c>
      <c r="AF70" s="384">
        <v>58</v>
      </c>
      <c r="AG70" s="384">
        <v>58</v>
      </c>
      <c r="AH70" s="384">
        <v>58</v>
      </c>
      <c r="AI70" s="384">
        <v>58</v>
      </c>
      <c r="AJ70" s="384">
        <v>60</v>
      </c>
      <c r="AK70" s="384">
        <v>60</v>
      </c>
      <c r="AL70" s="384">
        <v>62</v>
      </c>
      <c r="AM70" s="384">
        <v>64</v>
      </c>
      <c r="AN70" s="384">
        <v>66</v>
      </c>
      <c r="AO70" s="384">
        <v>66</v>
      </c>
      <c r="AP70" s="384">
        <v>69</v>
      </c>
      <c r="AQ70" s="384">
        <v>72</v>
      </c>
      <c r="AR70" s="384">
        <v>72</v>
      </c>
      <c r="AS70" s="384">
        <v>75</v>
      </c>
      <c r="AT70" s="384">
        <v>78</v>
      </c>
      <c r="AU70" s="384">
        <v>81</v>
      </c>
      <c r="AV70" s="384">
        <v>87</v>
      </c>
      <c r="AW70" s="384">
        <v>89</v>
      </c>
      <c r="AX70" s="384">
        <v>92</v>
      </c>
      <c r="BE70" s="380">
        <v>14</v>
      </c>
      <c r="BF70" s="384">
        <v>58</v>
      </c>
      <c r="BG70" s="384">
        <v>58</v>
      </c>
      <c r="BH70" s="384">
        <v>58</v>
      </c>
      <c r="BI70" s="384">
        <v>58</v>
      </c>
      <c r="BJ70" s="384">
        <v>58</v>
      </c>
      <c r="BK70" s="384">
        <v>58</v>
      </c>
      <c r="BL70" s="384">
        <v>60</v>
      </c>
      <c r="BM70" s="384">
        <v>62</v>
      </c>
      <c r="BN70" s="384">
        <v>62</v>
      </c>
      <c r="BO70" s="384">
        <v>64</v>
      </c>
      <c r="BP70" s="384">
        <v>66</v>
      </c>
      <c r="BQ70" s="384">
        <v>66</v>
      </c>
      <c r="BR70" s="384">
        <v>69</v>
      </c>
      <c r="BS70" s="384">
        <v>72</v>
      </c>
      <c r="BT70" s="384">
        <v>72</v>
      </c>
      <c r="BU70" s="384">
        <v>75</v>
      </c>
      <c r="BV70" s="384">
        <v>78</v>
      </c>
      <c r="BW70" s="384">
        <v>81</v>
      </c>
      <c r="BX70" s="384">
        <v>87</v>
      </c>
      <c r="BY70" s="384">
        <v>89</v>
      </c>
      <c r="BZ70" s="384">
        <v>92</v>
      </c>
      <c r="CG70" s="390">
        <v>14</v>
      </c>
      <c r="CH70" s="391">
        <v>58</v>
      </c>
      <c r="CI70" s="391">
        <v>58</v>
      </c>
      <c r="CJ70" s="391">
        <v>58</v>
      </c>
      <c r="CK70" s="391">
        <v>58</v>
      </c>
      <c r="CL70" s="391">
        <v>58</v>
      </c>
      <c r="CM70" s="391">
        <v>58</v>
      </c>
      <c r="CN70" s="391">
        <v>60</v>
      </c>
      <c r="CO70" s="391">
        <v>62</v>
      </c>
      <c r="CP70" s="391">
        <v>64</v>
      </c>
      <c r="CQ70" s="391">
        <v>64</v>
      </c>
      <c r="CR70" s="391">
        <v>66</v>
      </c>
      <c r="CS70" s="391">
        <v>66</v>
      </c>
      <c r="CT70" s="391">
        <v>69</v>
      </c>
      <c r="CU70" s="391">
        <v>72</v>
      </c>
      <c r="CV70" s="391">
        <v>72</v>
      </c>
      <c r="CW70" s="391">
        <v>75</v>
      </c>
      <c r="CX70" s="391">
        <v>78</v>
      </c>
      <c r="CY70" s="391">
        <v>81</v>
      </c>
      <c r="CZ70" s="391">
        <v>87</v>
      </c>
      <c r="DA70" s="391">
        <v>89</v>
      </c>
      <c r="DB70" s="391">
        <v>92</v>
      </c>
      <c r="DI70" s="380">
        <v>14</v>
      </c>
      <c r="DJ70" s="384">
        <v>60</v>
      </c>
      <c r="DK70" s="384">
        <v>60</v>
      </c>
      <c r="DL70" s="384">
        <v>60</v>
      </c>
      <c r="DM70" s="384">
        <v>60</v>
      </c>
      <c r="DN70" s="384">
        <v>60</v>
      </c>
      <c r="DO70" s="384">
        <v>62</v>
      </c>
      <c r="DP70" s="384">
        <v>62</v>
      </c>
      <c r="DQ70" s="384">
        <v>64</v>
      </c>
      <c r="DR70" s="384">
        <v>66</v>
      </c>
      <c r="DS70" s="384">
        <v>66</v>
      </c>
      <c r="DT70" s="384">
        <v>69</v>
      </c>
      <c r="DU70" s="384">
        <v>69</v>
      </c>
      <c r="DV70" s="384">
        <v>72</v>
      </c>
      <c r="DW70" s="384">
        <v>75</v>
      </c>
      <c r="DX70" s="384">
        <v>75</v>
      </c>
      <c r="DY70" s="384">
        <v>81</v>
      </c>
      <c r="DZ70" s="384">
        <v>84</v>
      </c>
      <c r="EA70" s="384">
        <v>89</v>
      </c>
      <c r="EB70" s="384">
        <v>92</v>
      </c>
      <c r="EC70" s="384">
        <v>96</v>
      </c>
      <c r="ED70" s="384">
        <v>100</v>
      </c>
    </row>
    <row r="71" spans="1:134" x14ac:dyDescent="0.15">
      <c r="A71" s="389">
        <v>15</v>
      </c>
      <c r="B71" s="392">
        <v>53</v>
      </c>
      <c r="C71" s="392">
        <v>53</v>
      </c>
      <c r="D71" s="392">
        <v>53</v>
      </c>
      <c r="E71" s="392">
        <v>53</v>
      </c>
      <c r="F71" s="392">
        <v>53</v>
      </c>
      <c r="G71" s="392">
        <v>53</v>
      </c>
      <c r="H71" s="392">
        <v>56</v>
      </c>
      <c r="I71" s="392">
        <v>56</v>
      </c>
      <c r="J71" s="392">
        <v>58</v>
      </c>
      <c r="K71" s="391">
        <v>60</v>
      </c>
      <c r="L71" s="391">
        <v>62</v>
      </c>
      <c r="M71" s="391">
        <v>62</v>
      </c>
      <c r="N71" s="392">
        <v>64</v>
      </c>
      <c r="O71" s="391">
        <v>66</v>
      </c>
      <c r="P71" s="391">
        <v>66</v>
      </c>
      <c r="Q71" s="392">
        <v>69</v>
      </c>
      <c r="R71" s="392">
        <v>72</v>
      </c>
      <c r="S71" s="392">
        <v>75</v>
      </c>
      <c r="T71" s="391">
        <v>81</v>
      </c>
      <c r="U71" s="392">
        <v>84</v>
      </c>
      <c r="V71" s="392">
        <v>87</v>
      </c>
      <c r="AC71" s="380">
        <v>15</v>
      </c>
      <c r="AD71" s="384">
        <v>60</v>
      </c>
      <c r="AE71" s="384">
        <v>60</v>
      </c>
      <c r="AF71" s="384">
        <v>60</v>
      </c>
      <c r="AG71" s="384">
        <v>60</v>
      </c>
      <c r="AH71" s="384">
        <v>60</v>
      </c>
      <c r="AI71" s="384">
        <v>60</v>
      </c>
      <c r="AJ71" s="384">
        <v>62</v>
      </c>
      <c r="AK71" s="384">
        <v>62</v>
      </c>
      <c r="AL71" s="384">
        <v>64</v>
      </c>
      <c r="AM71" s="384">
        <v>66</v>
      </c>
      <c r="AN71" s="384">
        <v>69</v>
      </c>
      <c r="AO71" s="384">
        <v>69</v>
      </c>
      <c r="AP71" s="384">
        <v>72</v>
      </c>
      <c r="AQ71" s="384">
        <v>75</v>
      </c>
      <c r="AR71" s="384">
        <v>75</v>
      </c>
      <c r="AS71" s="384">
        <v>78</v>
      </c>
      <c r="AT71" s="384">
        <v>81</v>
      </c>
      <c r="AU71" s="384">
        <v>84</v>
      </c>
      <c r="AV71" s="384">
        <v>89</v>
      </c>
      <c r="AW71" s="384">
        <v>92</v>
      </c>
      <c r="AX71" s="384">
        <v>96</v>
      </c>
      <c r="BE71" s="380">
        <v>15</v>
      </c>
      <c r="BF71" s="384">
        <v>60</v>
      </c>
      <c r="BG71" s="384">
        <v>60</v>
      </c>
      <c r="BH71" s="384">
        <v>60</v>
      </c>
      <c r="BI71" s="384">
        <v>60</v>
      </c>
      <c r="BJ71" s="384">
        <v>60</v>
      </c>
      <c r="BK71" s="384">
        <v>60</v>
      </c>
      <c r="BL71" s="384">
        <v>62</v>
      </c>
      <c r="BM71" s="384">
        <v>64</v>
      </c>
      <c r="BN71" s="384">
        <v>64</v>
      </c>
      <c r="BO71" s="384">
        <v>66</v>
      </c>
      <c r="BP71" s="384">
        <v>69</v>
      </c>
      <c r="BQ71" s="384">
        <v>69</v>
      </c>
      <c r="BR71" s="384">
        <v>72</v>
      </c>
      <c r="BS71" s="384">
        <v>75</v>
      </c>
      <c r="BT71" s="384">
        <v>75</v>
      </c>
      <c r="BU71" s="384">
        <v>78</v>
      </c>
      <c r="BV71" s="384">
        <v>81</v>
      </c>
      <c r="BW71" s="384">
        <v>84</v>
      </c>
      <c r="BX71" s="384">
        <v>89</v>
      </c>
      <c r="BY71" s="384">
        <v>92</v>
      </c>
      <c r="BZ71" s="384">
        <v>96</v>
      </c>
      <c r="CG71" s="390">
        <v>15</v>
      </c>
      <c r="CH71" s="391">
        <v>60</v>
      </c>
      <c r="CI71" s="391">
        <v>60</v>
      </c>
      <c r="CJ71" s="391">
        <v>60</v>
      </c>
      <c r="CK71" s="391">
        <v>60</v>
      </c>
      <c r="CL71" s="391">
        <v>60</v>
      </c>
      <c r="CM71" s="391">
        <v>60</v>
      </c>
      <c r="CN71" s="391">
        <v>62</v>
      </c>
      <c r="CO71" s="391">
        <v>64</v>
      </c>
      <c r="CP71" s="391">
        <v>66</v>
      </c>
      <c r="CQ71" s="391">
        <v>66</v>
      </c>
      <c r="CR71" s="391">
        <v>69</v>
      </c>
      <c r="CS71" s="391">
        <v>69</v>
      </c>
      <c r="CT71" s="391">
        <v>72</v>
      </c>
      <c r="CU71" s="391">
        <v>75</v>
      </c>
      <c r="CV71" s="391">
        <v>75</v>
      </c>
      <c r="CW71" s="391">
        <v>78</v>
      </c>
      <c r="CX71" s="391">
        <v>81</v>
      </c>
      <c r="CY71" s="391">
        <v>84</v>
      </c>
      <c r="CZ71" s="391">
        <v>89</v>
      </c>
      <c r="DA71" s="391">
        <v>92</v>
      </c>
      <c r="DB71" s="391">
        <v>96</v>
      </c>
      <c r="DI71" s="380">
        <v>15</v>
      </c>
      <c r="DJ71" s="384">
        <v>62</v>
      </c>
      <c r="DK71" s="384">
        <v>62</v>
      </c>
      <c r="DL71" s="384">
        <v>62</v>
      </c>
      <c r="DM71" s="384">
        <v>62</v>
      </c>
      <c r="DN71" s="384">
        <v>62</v>
      </c>
      <c r="DO71" s="384">
        <v>64</v>
      </c>
      <c r="DP71" s="384">
        <v>64</v>
      </c>
      <c r="DQ71" s="384">
        <v>66</v>
      </c>
      <c r="DR71" s="384">
        <v>69</v>
      </c>
      <c r="DS71" s="384">
        <v>69</v>
      </c>
      <c r="DT71" s="384">
        <v>72</v>
      </c>
      <c r="DU71" s="384">
        <v>72</v>
      </c>
      <c r="DV71" s="384">
        <v>75</v>
      </c>
      <c r="DW71" s="384">
        <v>78</v>
      </c>
      <c r="DX71" s="384">
        <v>78</v>
      </c>
      <c r="DY71" s="384">
        <v>84</v>
      </c>
      <c r="DZ71" s="384">
        <v>87</v>
      </c>
      <c r="EA71" s="384">
        <v>92</v>
      </c>
      <c r="EB71" s="384">
        <v>96</v>
      </c>
      <c r="EC71" s="384">
        <v>100</v>
      </c>
      <c r="ED71" s="384">
        <v>102</v>
      </c>
    </row>
    <row r="72" spans="1:134" x14ac:dyDescent="0.15">
      <c r="A72" s="390">
        <v>16</v>
      </c>
      <c r="B72" s="391">
        <v>60</v>
      </c>
      <c r="C72" s="391">
        <v>60</v>
      </c>
      <c r="D72" s="391">
        <v>60</v>
      </c>
      <c r="E72" s="391">
        <v>60</v>
      </c>
      <c r="F72" s="391">
        <v>60</v>
      </c>
      <c r="G72" s="391">
        <v>60</v>
      </c>
      <c r="H72" s="391">
        <v>62</v>
      </c>
      <c r="I72" s="391">
        <v>62</v>
      </c>
      <c r="J72" s="392">
        <v>64</v>
      </c>
      <c r="K72" s="391">
        <v>66</v>
      </c>
      <c r="L72" s="392">
        <v>69</v>
      </c>
      <c r="M72" s="392">
        <v>69</v>
      </c>
      <c r="N72" s="392">
        <v>72</v>
      </c>
      <c r="O72" s="392">
        <v>75</v>
      </c>
      <c r="P72" s="392">
        <v>75</v>
      </c>
      <c r="Q72" s="392">
        <v>78</v>
      </c>
      <c r="R72" s="391">
        <v>81</v>
      </c>
      <c r="S72" s="392">
        <v>84</v>
      </c>
      <c r="T72" s="392">
        <v>89</v>
      </c>
      <c r="U72" s="392">
        <v>92</v>
      </c>
      <c r="V72" s="392">
        <v>96</v>
      </c>
      <c r="AC72" s="380">
        <v>16</v>
      </c>
      <c r="AD72" s="384">
        <v>62</v>
      </c>
      <c r="AE72" s="384">
        <v>62</v>
      </c>
      <c r="AF72" s="384">
        <v>62</v>
      </c>
      <c r="AG72" s="384">
        <v>62</v>
      </c>
      <c r="AH72" s="384">
        <v>62</v>
      </c>
      <c r="AI72" s="384">
        <v>62</v>
      </c>
      <c r="AJ72" s="384">
        <v>64</v>
      </c>
      <c r="AK72" s="384">
        <v>64</v>
      </c>
      <c r="AL72" s="384">
        <v>66</v>
      </c>
      <c r="AM72" s="384">
        <v>69</v>
      </c>
      <c r="AN72" s="384">
        <v>72</v>
      </c>
      <c r="AO72" s="384">
        <v>72</v>
      </c>
      <c r="AP72" s="384">
        <v>75</v>
      </c>
      <c r="AQ72" s="384">
        <v>78</v>
      </c>
      <c r="AR72" s="384">
        <v>78</v>
      </c>
      <c r="AS72" s="384">
        <v>81</v>
      </c>
      <c r="AT72" s="384">
        <v>84</v>
      </c>
      <c r="AU72" s="384">
        <v>87</v>
      </c>
      <c r="AV72" s="384">
        <v>92</v>
      </c>
      <c r="AW72" s="384">
        <v>96</v>
      </c>
      <c r="AX72" s="384">
        <v>100</v>
      </c>
      <c r="BE72" s="380">
        <v>16</v>
      </c>
      <c r="BF72" s="384">
        <v>62</v>
      </c>
      <c r="BG72" s="384">
        <v>62</v>
      </c>
      <c r="BH72" s="384">
        <v>62</v>
      </c>
      <c r="BI72" s="384">
        <v>62</v>
      </c>
      <c r="BJ72" s="384">
        <v>62</v>
      </c>
      <c r="BK72" s="384">
        <v>62</v>
      </c>
      <c r="BL72" s="384">
        <v>64</v>
      </c>
      <c r="BM72" s="384">
        <v>66</v>
      </c>
      <c r="BN72" s="384">
        <v>66</v>
      </c>
      <c r="BO72" s="384">
        <v>69</v>
      </c>
      <c r="BP72" s="384">
        <v>72</v>
      </c>
      <c r="BQ72" s="384">
        <v>72</v>
      </c>
      <c r="BR72" s="384">
        <v>75</v>
      </c>
      <c r="BS72" s="384">
        <v>78</v>
      </c>
      <c r="BT72" s="384">
        <v>78</v>
      </c>
      <c r="BU72" s="384">
        <v>81</v>
      </c>
      <c r="BV72" s="384">
        <v>84</v>
      </c>
      <c r="BW72" s="384">
        <v>87</v>
      </c>
      <c r="BX72" s="384">
        <v>92</v>
      </c>
      <c r="BY72" s="384">
        <v>96</v>
      </c>
      <c r="BZ72" s="384">
        <v>100</v>
      </c>
      <c r="CG72" s="390">
        <v>16</v>
      </c>
      <c r="CH72" s="391">
        <v>64</v>
      </c>
      <c r="CI72" s="391">
        <v>64</v>
      </c>
      <c r="CJ72" s="391">
        <v>64</v>
      </c>
      <c r="CK72" s="391">
        <v>64</v>
      </c>
      <c r="CL72" s="391">
        <v>64</v>
      </c>
      <c r="CM72" s="391">
        <v>64</v>
      </c>
      <c r="CN72" s="391">
        <v>66</v>
      </c>
      <c r="CO72" s="391">
        <v>69</v>
      </c>
      <c r="CP72" s="391">
        <v>72</v>
      </c>
      <c r="CQ72" s="391">
        <v>72</v>
      </c>
      <c r="CR72" s="391">
        <v>75</v>
      </c>
      <c r="CS72" s="391">
        <v>75</v>
      </c>
      <c r="CT72" s="391">
        <v>78</v>
      </c>
      <c r="CU72" s="391">
        <v>81</v>
      </c>
      <c r="CV72" s="391">
        <v>81</v>
      </c>
      <c r="CW72" s="391">
        <v>84</v>
      </c>
      <c r="CX72" s="391">
        <v>87</v>
      </c>
      <c r="CY72" s="391">
        <v>89</v>
      </c>
      <c r="CZ72" s="391">
        <v>96</v>
      </c>
      <c r="DA72" s="391">
        <v>100</v>
      </c>
      <c r="DB72" s="391">
        <v>102</v>
      </c>
      <c r="DI72" s="380">
        <v>16</v>
      </c>
      <c r="DJ72" s="384">
        <v>66</v>
      </c>
      <c r="DK72" s="384">
        <v>66</v>
      </c>
      <c r="DL72" s="384">
        <v>66</v>
      </c>
      <c r="DM72" s="384">
        <v>66</v>
      </c>
      <c r="DN72" s="384">
        <v>66</v>
      </c>
      <c r="DO72" s="384">
        <v>69</v>
      </c>
      <c r="DP72" s="384">
        <v>69</v>
      </c>
      <c r="DQ72" s="384">
        <v>72</v>
      </c>
      <c r="DR72" s="384">
        <v>75</v>
      </c>
      <c r="DS72" s="384">
        <v>75</v>
      </c>
      <c r="DT72" s="384">
        <v>78</v>
      </c>
      <c r="DU72" s="384">
        <v>78</v>
      </c>
      <c r="DV72" s="384">
        <v>81</v>
      </c>
      <c r="DW72" s="384">
        <v>84</v>
      </c>
      <c r="DX72" s="384">
        <v>84</v>
      </c>
      <c r="DY72" s="384">
        <v>89</v>
      </c>
      <c r="DZ72" s="384">
        <v>92</v>
      </c>
      <c r="EA72" s="384">
        <v>100</v>
      </c>
      <c r="EB72" s="384">
        <v>102</v>
      </c>
      <c r="EC72" s="384">
        <v>105</v>
      </c>
      <c r="ED72" s="384">
        <v>109</v>
      </c>
    </row>
    <row r="73" spans="1:134" x14ac:dyDescent="0.15">
      <c r="A73" s="389">
        <v>17</v>
      </c>
      <c r="B73" s="384">
        <v>66</v>
      </c>
      <c r="C73" s="384">
        <v>66</v>
      </c>
      <c r="D73" s="384">
        <v>66</v>
      </c>
      <c r="E73" s="384">
        <v>66</v>
      </c>
      <c r="F73" s="384">
        <v>66</v>
      </c>
      <c r="G73" s="384">
        <v>66</v>
      </c>
      <c r="H73" s="392">
        <v>69</v>
      </c>
      <c r="I73" s="392">
        <v>69</v>
      </c>
      <c r="J73" s="392">
        <v>72</v>
      </c>
      <c r="K73" s="392">
        <v>75</v>
      </c>
      <c r="L73" s="392">
        <v>78</v>
      </c>
      <c r="M73" s="392">
        <v>78</v>
      </c>
      <c r="N73" s="384">
        <v>81</v>
      </c>
      <c r="O73" s="392">
        <v>84</v>
      </c>
      <c r="P73" s="392">
        <v>84</v>
      </c>
      <c r="Q73" s="392">
        <v>87</v>
      </c>
      <c r="R73" s="392">
        <v>89</v>
      </c>
      <c r="S73" s="392">
        <v>92</v>
      </c>
      <c r="T73" s="384">
        <v>100</v>
      </c>
      <c r="U73" s="384">
        <v>102</v>
      </c>
      <c r="V73" s="392">
        <v>105</v>
      </c>
      <c r="AC73" s="380">
        <v>17</v>
      </c>
      <c r="AD73" s="384">
        <v>66</v>
      </c>
      <c r="AE73" s="384">
        <v>66</v>
      </c>
      <c r="AF73" s="384">
        <v>66</v>
      </c>
      <c r="AG73" s="384">
        <v>66</v>
      </c>
      <c r="AH73" s="384">
        <v>66</v>
      </c>
      <c r="AI73" s="384">
        <v>66</v>
      </c>
      <c r="AJ73" s="384">
        <v>69</v>
      </c>
      <c r="AK73" s="384">
        <v>69</v>
      </c>
      <c r="AL73" s="384">
        <v>72</v>
      </c>
      <c r="AM73" s="384">
        <v>75</v>
      </c>
      <c r="AN73" s="384">
        <v>78</v>
      </c>
      <c r="AO73" s="384">
        <v>78</v>
      </c>
      <c r="AP73" s="384">
        <v>81</v>
      </c>
      <c r="AQ73" s="384">
        <v>84</v>
      </c>
      <c r="AR73" s="384">
        <v>84</v>
      </c>
      <c r="AS73" s="384">
        <v>87</v>
      </c>
      <c r="AT73" s="384">
        <v>89</v>
      </c>
      <c r="AU73" s="384">
        <v>92</v>
      </c>
      <c r="AV73" s="384">
        <v>100</v>
      </c>
      <c r="AW73" s="384">
        <v>102</v>
      </c>
      <c r="AX73" s="384">
        <v>105</v>
      </c>
      <c r="BE73" s="380">
        <v>17</v>
      </c>
      <c r="BF73" s="384">
        <v>66</v>
      </c>
      <c r="BG73" s="384">
        <v>66</v>
      </c>
      <c r="BH73" s="384">
        <v>66</v>
      </c>
      <c r="BI73" s="384">
        <v>66</v>
      </c>
      <c r="BJ73" s="384">
        <v>66</v>
      </c>
      <c r="BK73" s="384">
        <v>66</v>
      </c>
      <c r="BL73" s="384">
        <v>69</v>
      </c>
      <c r="BM73" s="384">
        <v>72</v>
      </c>
      <c r="BN73" s="384">
        <v>72</v>
      </c>
      <c r="BO73" s="384">
        <v>75</v>
      </c>
      <c r="BP73" s="384">
        <v>78</v>
      </c>
      <c r="BQ73" s="384">
        <v>78</v>
      </c>
      <c r="BR73" s="384">
        <v>81</v>
      </c>
      <c r="BS73" s="384">
        <v>84</v>
      </c>
      <c r="BT73" s="384">
        <v>84</v>
      </c>
      <c r="BU73" s="384">
        <v>87</v>
      </c>
      <c r="BV73" s="384">
        <v>89</v>
      </c>
      <c r="BW73" s="384">
        <v>92</v>
      </c>
      <c r="BX73" s="384">
        <v>100</v>
      </c>
      <c r="BY73" s="384">
        <v>102</v>
      </c>
      <c r="BZ73" s="384">
        <v>105</v>
      </c>
      <c r="CG73" s="390">
        <v>17</v>
      </c>
      <c r="CH73" s="391">
        <v>69</v>
      </c>
      <c r="CI73" s="391">
        <v>69</v>
      </c>
      <c r="CJ73" s="391">
        <v>69</v>
      </c>
      <c r="CK73" s="391">
        <v>69</v>
      </c>
      <c r="CL73" s="391">
        <v>69</v>
      </c>
      <c r="CM73" s="391">
        <v>69</v>
      </c>
      <c r="CN73" s="391">
        <v>72</v>
      </c>
      <c r="CO73" s="391">
        <v>75</v>
      </c>
      <c r="CP73" s="391">
        <v>78</v>
      </c>
      <c r="CQ73" s="391">
        <v>78</v>
      </c>
      <c r="CR73" s="391">
        <v>81</v>
      </c>
      <c r="CS73" s="391">
        <v>81</v>
      </c>
      <c r="CT73" s="391">
        <v>84</v>
      </c>
      <c r="CU73" s="391">
        <v>87</v>
      </c>
      <c r="CV73" s="391">
        <v>87</v>
      </c>
      <c r="CW73" s="391">
        <v>89</v>
      </c>
      <c r="CX73" s="391">
        <v>92</v>
      </c>
      <c r="CY73" s="391">
        <v>96</v>
      </c>
      <c r="CZ73" s="391">
        <v>102</v>
      </c>
      <c r="DA73" s="391">
        <v>105</v>
      </c>
      <c r="DB73" s="391">
        <v>109</v>
      </c>
      <c r="DI73" s="380">
        <v>17</v>
      </c>
      <c r="DJ73" s="384">
        <v>72</v>
      </c>
      <c r="DK73" s="384">
        <v>72</v>
      </c>
      <c r="DL73" s="384">
        <v>72</v>
      </c>
      <c r="DM73" s="384">
        <v>72</v>
      </c>
      <c r="DN73" s="384">
        <v>72</v>
      </c>
      <c r="DO73" s="384">
        <v>75</v>
      </c>
      <c r="DP73" s="384">
        <v>75</v>
      </c>
      <c r="DQ73" s="384">
        <v>78</v>
      </c>
      <c r="DR73" s="384">
        <v>81</v>
      </c>
      <c r="DS73" s="384">
        <v>81</v>
      </c>
      <c r="DT73" s="384">
        <v>84</v>
      </c>
      <c r="DU73" s="384">
        <v>84</v>
      </c>
      <c r="DV73" s="384">
        <v>87</v>
      </c>
      <c r="DW73" s="384">
        <v>89</v>
      </c>
      <c r="DX73" s="384">
        <v>89</v>
      </c>
      <c r="DY73" s="384">
        <v>96</v>
      </c>
      <c r="DZ73" s="384">
        <v>100</v>
      </c>
      <c r="EA73" s="384">
        <v>105</v>
      </c>
      <c r="EB73" s="384">
        <v>109</v>
      </c>
      <c r="EC73" s="384">
        <v>112</v>
      </c>
      <c r="ED73" s="384">
        <v>116</v>
      </c>
    </row>
    <row r="74" spans="1:134" x14ac:dyDescent="0.15">
      <c r="A74" s="390">
        <v>18</v>
      </c>
      <c r="B74" s="392">
        <v>72</v>
      </c>
      <c r="C74" s="392">
        <v>72</v>
      </c>
      <c r="D74" s="392">
        <v>72</v>
      </c>
      <c r="E74" s="392">
        <v>72</v>
      </c>
      <c r="F74" s="392">
        <v>72</v>
      </c>
      <c r="G74" s="392">
        <v>72</v>
      </c>
      <c r="H74" s="392">
        <v>75</v>
      </c>
      <c r="I74" s="392">
        <v>75</v>
      </c>
      <c r="J74" s="392">
        <v>78</v>
      </c>
      <c r="K74" s="391">
        <v>81</v>
      </c>
      <c r="L74" s="392">
        <v>84</v>
      </c>
      <c r="M74" s="392">
        <v>84</v>
      </c>
      <c r="N74" s="392">
        <v>87</v>
      </c>
      <c r="O74" s="392">
        <v>89</v>
      </c>
      <c r="P74" s="392">
        <v>89</v>
      </c>
      <c r="Q74" s="392">
        <v>92</v>
      </c>
      <c r="R74" s="392">
        <v>96</v>
      </c>
      <c r="S74" s="391">
        <v>100</v>
      </c>
      <c r="T74" s="392">
        <v>105</v>
      </c>
      <c r="U74" s="392">
        <v>109</v>
      </c>
      <c r="V74" s="391">
        <v>112</v>
      </c>
      <c r="AC74" s="380">
        <v>18</v>
      </c>
      <c r="AD74" s="384">
        <v>72</v>
      </c>
      <c r="AE74" s="384">
        <v>72</v>
      </c>
      <c r="AF74" s="384">
        <v>72</v>
      </c>
      <c r="AG74" s="384">
        <v>72</v>
      </c>
      <c r="AH74" s="384">
        <v>72</v>
      </c>
      <c r="AI74" s="384">
        <v>72</v>
      </c>
      <c r="AJ74" s="384">
        <v>75</v>
      </c>
      <c r="AK74" s="384">
        <v>75</v>
      </c>
      <c r="AL74" s="384">
        <v>78</v>
      </c>
      <c r="AM74" s="384">
        <v>81</v>
      </c>
      <c r="AN74" s="384">
        <v>84</v>
      </c>
      <c r="AO74" s="384">
        <v>84</v>
      </c>
      <c r="AP74" s="384">
        <v>87</v>
      </c>
      <c r="AQ74" s="384">
        <v>89</v>
      </c>
      <c r="AR74" s="384">
        <v>89</v>
      </c>
      <c r="AS74" s="384">
        <v>92</v>
      </c>
      <c r="AT74" s="384">
        <v>96</v>
      </c>
      <c r="AU74" s="384">
        <v>100</v>
      </c>
      <c r="AV74" s="384">
        <v>105</v>
      </c>
      <c r="AW74" s="384">
        <v>109</v>
      </c>
      <c r="AX74" s="384">
        <v>112</v>
      </c>
      <c r="BE74" s="380">
        <v>18</v>
      </c>
      <c r="BF74" s="384">
        <v>72</v>
      </c>
      <c r="BG74" s="384">
        <v>72</v>
      </c>
      <c r="BH74" s="384">
        <v>72</v>
      </c>
      <c r="BI74" s="384">
        <v>72</v>
      </c>
      <c r="BJ74" s="384">
        <v>72</v>
      </c>
      <c r="BK74" s="384">
        <v>72</v>
      </c>
      <c r="BL74" s="384">
        <v>75</v>
      </c>
      <c r="BM74" s="384">
        <v>78</v>
      </c>
      <c r="BN74" s="384">
        <v>78</v>
      </c>
      <c r="BO74" s="384">
        <v>81</v>
      </c>
      <c r="BP74" s="384">
        <v>84</v>
      </c>
      <c r="BQ74" s="384">
        <v>84</v>
      </c>
      <c r="BR74" s="384">
        <v>87</v>
      </c>
      <c r="BS74" s="384">
        <v>89</v>
      </c>
      <c r="BT74" s="384">
        <v>89</v>
      </c>
      <c r="BU74" s="384">
        <v>92</v>
      </c>
      <c r="BV74" s="384">
        <v>96</v>
      </c>
      <c r="BW74" s="384">
        <v>100</v>
      </c>
      <c r="BX74" s="384">
        <v>105</v>
      </c>
      <c r="BY74" s="384">
        <v>109</v>
      </c>
      <c r="BZ74" s="384">
        <v>112</v>
      </c>
      <c r="CG74" s="390">
        <v>18</v>
      </c>
      <c r="CH74" s="391">
        <v>72</v>
      </c>
      <c r="CI74" s="391">
        <v>72</v>
      </c>
      <c r="CJ74" s="391">
        <v>72</v>
      </c>
      <c r="CK74" s="391">
        <v>72</v>
      </c>
      <c r="CL74" s="391">
        <v>72</v>
      </c>
      <c r="CM74" s="391">
        <v>72</v>
      </c>
      <c r="CN74" s="391">
        <v>75</v>
      </c>
      <c r="CO74" s="391">
        <v>78</v>
      </c>
      <c r="CP74" s="391">
        <v>81</v>
      </c>
      <c r="CQ74" s="391">
        <v>81</v>
      </c>
      <c r="CR74" s="391">
        <v>84</v>
      </c>
      <c r="CS74" s="391">
        <v>84</v>
      </c>
      <c r="CT74" s="391">
        <v>87</v>
      </c>
      <c r="CU74" s="391">
        <v>89</v>
      </c>
      <c r="CV74" s="391">
        <v>89</v>
      </c>
      <c r="CW74" s="391">
        <v>92</v>
      </c>
      <c r="CX74" s="391">
        <v>96</v>
      </c>
      <c r="CY74" s="391">
        <v>100</v>
      </c>
      <c r="CZ74" s="391">
        <v>105</v>
      </c>
      <c r="DA74" s="391">
        <v>109</v>
      </c>
      <c r="DB74" s="391">
        <v>112</v>
      </c>
      <c r="DI74" s="380">
        <v>18</v>
      </c>
      <c r="DJ74" s="384">
        <v>75</v>
      </c>
      <c r="DK74" s="384">
        <v>75</v>
      </c>
      <c r="DL74" s="384">
        <v>75</v>
      </c>
      <c r="DM74" s="384">
        <v>75</v>
      </c>
      <c r="DN74" s="384">
        <v>75</v>
      </c>
      <c r="DO74" s="384">
        <v>78</v>
      </c>
      <c r="DP74" s="384">
        <v>78</v>
      </c>
      <c r="DQ74" s="384">
        <v>81</v>
      </c>
      <c r="DR74" s="384">
        <v>84</v>
      </c>
      <c r="DS74" s="384">
        <v>84</v>
      </c>
      <c r="DT74" s="384">
        <v>87</v>
      </c>
      <c r="DU74" s="384">
        <v>87</v>
      </c>
      <c r="DV74" s="384">
        <v>89</v>
      </c>
      <c r="DW74" s="384">
        <v>92</v>
      </c>
      <c r="DX74" s="384">
        <v>92</v>
      </c>
      <c r="DY74" s="384">
        <v>100</v>
      </c>
      <c r="DZ74" s="384">
        <v>102</v>
      </c>
      <c r="EA74" s="384">
        <v>109</v>
      </c>
      <c r="EB74" s="384">
        <v>112</v>
      </c>
      <c r="EC74" s="384">
        <v>116</v>
      </c>
      <c r="ED74" s="384">
        <v>121</v>
      </c>
    </row>
    <row r="75" spans="1:134" x14ac:dyDescent="0.15">
      <c r="A75" s="389">
        <v>19</v>
      </c>
      <c r="B75" s="392">
        <v>75</v>
      </c>
      <c r="C75" s="392">
        <v>75</v>
      </c>
      <c r="D75" s="392">
        <v>75</v>
      </c>
      <c r="E75" s="392">
        <v>75</v>
      </c>
      <c r="F75" s="392">
        <v>75</v>
      </c>
      <c r="G75" s="392">
        <v>75</v>
      </c>
      <c r="H75" s="392">
        <v>78</v>
      </c>
      <c r="I75" s="392">
        <v>78</v>
      </c>
      <c r="J75" s="391">
        <v>81</v>
      </c>
      <c r="K75" s="392">
        <v>84</v>
      </c>
      <c r="L75" s="392">
        <v>87</v>
      </c>
      <c r="M75" s="392">
        <v>87</v>
      </c>
      <c r="N75" s="392">
        <v>89</v>
      </c>
      <c r="O75" s="392">
        <v>92</v>
      </c>
      <c r="P75" s="392">
        <v>92</v>
      </c>
      <c r="Q75" s="392">
        <v>96</v>
      </c>
      <c r="R75" s="391">
        <v>100</v>
      </c>
      <c r="S75" s="391">
        <v>102</v>
      </c>
      <c r="T75" s="392">
        <v>109</v>
      </c>
      <c r="U75" s="391">
        <v>112</v>
      </c>
      <c r="V75" s="391">
        <v>116</v>
      </c>
      <c r="AC75" s="380">
        <v>19</v>
      </c>
      <c r="AD75" s="384">
        <v>75</v>
      </c>
      <c r="AE75" s="384">
        <v>75</v>
      </c>
      <c r="AF75" s="384">
        <v>75</v>
      </c>
      <c r="AG75" s="384">
        <v>75</v>
      </c>
      <c r="AH75" s="384">
        <v>75</v>
      </c>
      <c r="AI75" s="384">
        <v>75</v>
      </c>
      <c r="AJ75" s="384">
        <v>78</v>
      </c>
      <c r="AK75" s="384">
        <v>78</v>
      </c>
      <c r="AL75" s="384">
        <v>81</v>
      </c>
      <c r="AM75" s="384">
        <v>84</v>
      </c>
      <c r="AN75" s="384">
        <v>87</v>
      </c>
      <c r="AO75" s="384">
        <v>87</v>
      </c>
      <c r="AP75" s="384">
        <v>89</v>
      </c>
      <c r="AQ75" s="384">
        <v>92</v>
      </c>
      <c r="AR75" s="384">
        <v>92</v>
      </c>
      <c r="AS75" s="384">
        <v>96</v>
      </c>
      <c r="AT75" s="384">
        <v>100</v>
      </c>
      <c r="AU75" s="384">
        <v>102</v>
      </c>
      <c r="AV75" s="384">
        <v>109</v>
      </c>
      <c r="AW75" s="384">
        <v>112</v>
      </c>
      <c r="AX75" s="384">
        <v>116</v>
      </c>
      <c r="BE75" s="380">
        <v>19</v>
      </c>
      <c r="BF75" s="384">
        <v>75</v>
      </c>
      <c r="BG75" s="384">
        <v>75</v>
      </c>
      <c r="BH75" s="384">
        <v>75</v>
      </c>
      <c r="BI75" s="384">
        <v>75</v>
      </c>
      <c r="BJ75" s="384">
        <v>75</v>
      </c>
      <c r="BK75" s="384">
        <v>75</v>
      </c>
      <c r="BL75" s="384">
        <v>78</v>
      </c>
      <c r="BM75" s="384">
        <v>81</v>
      </c>
      <c r="BN75" s="384">
        <v>81</v>
      </c>
      <c r="BO75" s="384">
        <v>84</v>
      </c>
      <c r="BP75" s="384">
        <v>87</v>
      </c>
      <c r="BQ75" s="384">
        <v>87</v>
      </c>
      <c r="BR75" s="384">
        <v>89</v>
      </c>
      <c r="BS75" s="384">
        <v>92</v>
      </c>
      <c r="BT75" s="384">
        <v>92</v>
      </c>
      <c r="BU75" s="384">
        <v>96</v>
      </c>
      <c r="BV75" s="384">
        <v>100</v>
      </c>
      <c r="BW75" s="384">
        <v>102</v>
      </c>
      <c r="BX75" s="384">
        <v>109</v>
      </c>
      <c r="BY75" s="384">
        <v>112</v>
      </c>
      <c r="BZ75" s="384">
        <v>116</v>
      </c>
      <c r="CG75" s="390">
        <v>19</v>
      </c>
      <c r="CH75" s="391">
        <v>78</v>
      </c>
      <c r="CI75" s="391">
        <v>78</v>
      </c>
      <c r="CJ75" s="391">
        <v>78</v>
      </c>
      <c r="CK75" s="391">
        <v>78</v>
      </c>
      <c r="CL75" s="391">
        <v>78</v>
      </c>
      <c r="CM75" s="391">
        <v>78</v>
      </c>
      <c r="CN75" s="391">
        <v>81</v>
      </c>
      <c r="CO75" s="391">
        <v>84</v>
      </c>
      <c r="CP75" s="391">
        <v>87</v>
      </c>
      <c r="CQ75" s="391">
        <v>87</v>
      </c>
      <c r="CR75" s="391">
        <v>89</v>
      </c>
      <c r="CS75" s="391">
        <v>89</v>
      </c>
      <c r="CT75" s="391">
        <v>92</v>
      </c>
      <c r="CU75" s="391">
        <v>96</v>
      </c>
      <c r="CV75" s="391">
        <v>96</v>
      </c>
      <c r="CW75" s="391">
        <v>100</v>
      </c>
      <c r="CX75" s="391">
        <v>102</v>
      </c>
      <c r="CY75" s="391">
        <v>105</v>
      </c>
      <c r="CZ75" s="391">
        <v>112</v>
      </c>
      <c r="DA75" s="391">
        <v>116</v>
      </c>
      <c r="DB75" s="391">
        <v>121</v>
      </c>
      <c r="DI75" s="380">
        <v>19</v>
      </c>
      <c r="DJ75" s="384">
        <v>78</v>
      </c>
      <c r="DK75" s="384">
        <v>78</v>
      </c>
      <c r="DL75" s="384">
        <v>78</v>
      </c>
      <c r="DM75" s="384">
        <v>78</v>
      </c>
      <c r="DN75" s="384">
        <v>78</v>
      </c>
      <c r="DO75" s="384">
        <v>81</v>
      </c>
      <c r="DP75" s="384">
        <v>81</v>
      </c>
      <c r="DQ75" s="384">
        <v>84</v>
      </c>
      <c r="DR75" s="384">
        <v>87</v>
      </c>
      <c r="DS75" s="384">
        <v>87</v>
      </c>
      <c r="DT75" s="384">
        <v>89</v>
      </c>
      <c r="DU75" s="384">
        <v>89</v>
      </c>
      <c r="DV75" s="384">
        <v>92</v>
      </c>
      <c r="DW75" s="384">
        <v>96</v>
      </c>
      <c r="DX75" s="384">
        <v>96</v>
      </c>
      <c r="DY75" s="384">
        <v>102</v>
      </c>
      <c r="DZ75" s="384">
        <v>105</v>
      </c>
      <c r="EA75" s="384">
        <v>112</v>
      </c>
      <c r="EB75" s="384">
        <v>116</v>
      </c>
      <c r="EC75" s="384">
        <v>121</v>
      </c>
      <c r="ED75" s="384">
        <v>126</v>
      </c>
    </row>
    <row r="76" spans="1:134" x14ac:dyDescent="0.15">
      <c r="A76" s="390">
        <v>20</v>
      </c>
      <c r="B76" s="391">
        <v>81</v>
      </c>
      <c r="C76" s="391">
        <v>81</v>
      </c>
      <c r="D76" s="391">
        <v>81</v>
      </c>
      <c r="E76" s="391">
        <v>81</v>
      </c>
      <c r="F76" s="391">
        <v>81</v>
      </c>
      <c r="G76" s="391">
        <v>81</v>
      </c>
      <c r="H76" s="392">
        <v>84</v>
      </c>
      <c r="I76" s="392">
        <v>84</v>
      </c>
      <c r="J76" s="392">
        <v>87</v>
      </c>
      <c r="K76" s="392">
        <v>89</v>
      </c>
      <c r="L76" s="392">
        <v>92</v>
      </c>
      <c r="M76" s="392">
        <v>92</v>
      </c>
      <c r="N76" s="392">
        <v>96</v>
      </c>
      <c r="O76" s="391">
        <v>100</v>
      </c>
      <c r="P76" s="391">
        <v>100</v>
      </c>
      <c r="Q76" s="391">
        <v>102</v>
      </c>
      <c r="R76" s="392">
        <v>105</v>
      </c>
      <c r="S76" s="392">
        <v>109</v>
      </c>
      <c r="T76" s="391">
        <v>116</v>
      </c>
      <c r="U76" s="391">
        <v>121</v>
      </c>
      <c r="V76" s="391">
        <v>126</v>
      </c>
      <c r="AC76" s="380">
        <v>20</v>
      </c>
      <c r="AD76" s="384">
        <v>81</v>
      </c>
      <c r="AE76" s="384">
        <v>81</v>
      </c>
      <c r="AF76" s="384">
        <v>81</v>
      </c>
      <c r="AG76" s="384">
        <v>81</v>
      </c>
      <c r="AH76" s="384">
        <v>81</v>
      </c>
      <c r="AI76" s="384">
        <v>81</v>
      </c>
      <c r="AJ76" s="384">
        <v>84</v>
      </c>
      <c r="AK76" s="384">
        <v>84</v>
      </c>
      <c r="AL76" s="384">
        <v>87</v>
      </c>
      <c r="AM76" s="384">
        <v>89</v>
      </c>
      <c r="AN76" s="384">
        <v>92</v>
      </c>
      <c r="AO76" s="384">
        <v>92</v>
      </c>
      <c r="AP76" s="384">
        <v>96</v>
      </c>
      <c r="AQ76" s="384">
        <v>100</v>
      </c>
      <c r="AR76" s="384">
        <v>100</v>
      </c>
      <c r="AS76" s="384">
        <v>102</v>
      </c>
      <c r="AT76" s="384">
        <v>105</v>
      </c>
      <c r="AU76" s="384">
        <v>109</v>
      </c>
      <c r="AV76" s="384">
        <v>116</v>
      </c>
      <c r="AW76" s="384">
        <v>121</v>
      </c>
      <c r="AX76" s="384">
        <v>126</v>
      </c>
      <c r="BE76" s="380">
        <v>20</v>
      </c>
      <c r="BF76" s="384">
        <v>84</v>
      </c>
      <c r="BG76" s="384">
        <v>84</v>
      </c>
      <c r="BH76" s="384">
        <v>84</v>
      </c>
      <c r="BI76" s="384">
        <v>84</v>
      </c>
      <c r="BJ76" s="384">
        <v>84</v>
      </c>
      <c r="BK76" s="384">
        <v>84</v>
      </c>
      <c r="BL76" s="384">
        <v>87</v>
      </c>
      <c r="BM76" s="384">
        <v>89</v>
      </c>
      <c r="BN76" s="384">
        <v>89</v>
      </c>
      <c r="BO76" s="384">
        <v>92</v>
      </c>
      <c r="BP76" s="384">
        <v>96</v>
      </c>
      <c r="BQ76" s="384">
        <v>96</v>
      </c>
      <c r="BR76" s="384">
        <v>100</v>
      </c>
      <c r="BS76" s="384">
        <v>102</v>
      </c>
      <c r="BT76" s="384">
        <v>102</v>
      </c>
      <c r="BU76" s="384">
        <v>105</v>
      </c>
      <c r="BV76" s="384">
        <v>109</v>
      </c>
      <c r="BW76" s="384">
        <v>112</v>
      </c>
      <c r="BX76" s="384">
        <v>121</v>
      </c>
      <c r="BY76" s="384">
        <v>126</v>
      </c>
      <c r="BZ76" s="384">
        <v>131</v>
      </c>
      <c r="CG76" s="390">
        <v>20</v>
      </c>
      <c r="CH76" s="391">
        <v>84</v>
      </c>
      <c r="CI76" s="391">
        <v>84</v>
      </c>
      <c r="CJ76" s="391">
        <v>84</v>
      </c>
      <c r="CK76" s="391">
        <v>84</v>
      </c>
      <c r="CL76" s="391">
        <v>84</v>
      </c>
      <c r="CM76" s="391">
        <v>84</v>
      </c>
      <c r="CN76" s="391">
        <v>87</v>
      </c>
      <c r="CO76" s="391">
        <v>89</v>
      </c>
      <c r="CP76" s="391">
        <v>92</v>
      </c>
      <c r="CQ76" s="391">
        <v>92</v>
      </c>
      <c r="CR76" s="391">
        <v>96</v>
      </c>
      <c r="CS76" s="391">
        <v>96</v>
      </c>
      <c r="CT76" s="391">
        <v>100</v>
      </c>
      <c r="CU76" s="391">
        <v>102</v>
      </c>
      <c r="CV76" s="391">
        <v>102</v>
      </c>
      <c r="CW76" s="391">
        <v>105</v>
      </c>
      <c r="CX76" s="391">
        <v>109</v>
      </c>
      <c r="CY76" s="391">
        <v>112</v>
      </c>
      <c r="CZ76" s="391">
        <v>121</v>
      </c>
      <c r="DA76" s="391">
        <v>126</v>
      </c>
      <c r="DB76" s="391">
        <v>131</v>
      </c>
      <c r="DI76" s="380">
        <v>20</v>
      </c>
      <c r="DJ76" s="384">
        <v>84</v>
      </c>
      <c r="DK76" s="384">
        <v>84</v>
      </c>
      <c r="DL76" s="384">
        <v>84</v>
      </c>
      <c r="DM76" s="384">
        <v>84</v>
      </c>
      <c r="DN76" s="384">
        <v>84</v>
      </c>
      <c r="DO76" s="384">
        <v>87</v>
      </c>
      <c r="DP76" s="384">
        <v>87</v>
      </c>
      <c r="DQ76" s="384">
        <v>89</v>
      </c>
      <c r="DR76" s="384">
        <v>92</v>
      </c>
      <c r="DS76" s="384">
        <v>92</v>
      </c>
      <c r="DT76" s="384">
        <v>96</v>
      </c>
      <c r="DU76" s="384">
        <v>96</v>
      </c>
      <c r="DV76" s="384">
        <v>100</v>
      </c>
      <c r="DW76" s="384">
        <v>102</v>
      </c>
      <c r="DX76" s="384">
        <v>102</v>
      </c>
      <c r="DY76" s="384">
        <v>109</v>
      </c>
      <c r="DZ76" s="384">
        <v>112</v>
      </c>
      <c r="EA76" s="384">
        <v>121</v>
      </c>
      <c r="EB76" s="384">
        <v>126</v>
      </c>
      <c r="EC76" s="384">
        <v>131</v>
      </c>
      <c r="ED76" s="384">
        <v>136</v>
      </c>
    </row>
    <row r="78" spans="1:134" x14ac:dyDescent="0.15">
      <c r="A78" s="377" t="s">
        <v>414</v>
      </c>
      <c r="B78" s="377">
        <f>'Standard Tests'!$B$12</f>
        <v>0</v>
      </c>
      <c r="E78" s="377" t="s">
        <v>438</v>
      </c>
      <c r="F78" s="377">
        <f>INDEX(B56:V76,MATCH(B78,A56:A76,0),MATCH(B79,B55:V55,0))</f>
        <v>50</v>
      </c>
      <c r="AC78" s="377" t="s">
        <v>414</v>
      </c>
      <c r="AD78" s="377">
        <f>'Standard Tests'!$B$12</f>
        <v>0</v>
      </c>
      <c r="AG78" s="377" t="s">
        <v>438</v>
      </c>
      <c r="AH78" s="377">
        <f>INDEX(AD56:AX76,MATCH(AD78,AC56:AC76,0),MATCH(AD79,AD55:AX55,0))</f>
        <v>50</v>
      </c>
      <c r="BE78" s="377" t="s">
        <v>414</v>
      </c>
      <c r="BF78" s="377">
        <f>'Standard Tests'!$B$12</f>
        <v>0</v>
      </c>
      <c r="BI78" s="377" t="s">
        <v>438</v>
      </c>
      <c r="BJ78" s="377">
        <f>INDEX(BF56:BZ76,MATCH(BF78,BE56:BE76,0),MATCH(BF79,BF55:BZ55,0))</f>
        <v>50</v>
      </c>
      <c r="CG78" s="377" t="s">
        <v>414</v>
      </c>
      <c r="CH78" s="377">
        <f>'Standard Tests'!$B$12</f>
        <v>0</v>
      </c>
      <c r="CK78" s="377" t="s">
        <v>438</v>
      </c>
      <c r="CL78" s="377">
        <f>INDEX(CH56:DB76,MATCH(CH78,CG56:CG76,0),MATCH(CH79,CH55:DB55,0))</f>
        <v>50</v>
      </c>
      <c r="DI78" s="377" t="s">
        <v>414</v>
      </c>
      <c r="DJ78" s="377">
        <f>'Standard Tests'!$B$12</f>
        <v>0</v>
      </c>
      <c r="DM78" s="377" t="s">
        <v>438</v>
      </c>
      <c r="DN78" s="377">
        <f>INDEX(DJ56:ED76,MATCH(DJ78,DI56:DI76,0),MATCH(DJ79,DJ55:ED55,0))</f>
        <v>50</v>
      </c>
    </row>
    <row r="79" spans="1:134" x14ac:dyDescent="0.15">
      <c r="A79" s="377" t="s">
        <v>419</v>
      </c>
      <c r="B79" s="377">
        <f>'Standard Tests'!$B$13</f>
        <v>0</v>
      </c>
      <c r="AC79" s="377" t="s">
        <v>419</v>
      </c>
      <c r="AD79" s="377">
        <f>'Standard Tests'!$B$13</f>
        <v>0</v>
      </c>
      <c r="BE79" s="377" t="s">
        <v>419</v>
      </c>
      <c r="BF79" s="377">
        <f>'Standard Tests'!$B$13</f>
        <v>0</v>
      </c>
      <c r="CG79" s="377" t="s">
        <v>419</v>
      </c>
      <c r="CH79" s="377">
        <f>'Standard Tests'!$B$13</f>
        <v>0</v>
      </c>
      <c r="DI79" s="377" t="s">
        <v>419</v>
      </c>
      <c r="DJ79" s="377">
        <f>'Standard Tests'!$B$13</f>
        <v>0</v>
      </c>
    </row>
    <row r="81" spans="1:124" x14ac:dyDescent="0.15">
      <c r="B81" s="376" t="s">
        <v>420</v>
      </c>
      <c r="AD81" s="376" t="s">
        <v>420</v>
      </c>
      <c r="BF81" s="376" t="s">
        <v>420</v>
      </c>
      <c r="CH81" s="376" t="s">
        <v>420</v>
      </c>
      <c r="DJ81" s="376" t="s">
        <v>420</v>
      </c>
    </row>
    <row r="82" spans="1:124" x14ac:dyDescent="0.15">
      <c r="A82" s="381" t="s">
        <v>415</v>
      </c>
      <c r="B82" s="380">
        <v>0</v>
      </c>
      <c r="C82" s="380">
        <v>1</v>
      </c>
      <c r="D82" s="380">
        <v>2</v>
      </c>
      <c r="E82" s="380">
        <v>3</v>
      </c>
      <c r="F82" s="380">
        <v>4</v>
      </c>
      <c r="G82" s="380">
        <v>5</v>
      </c>
      <c r="H82" s="380">
        <v>6</v>
      </c>
      <c r="I82" s="380">
        <v>7</v>
      </c>
      <c r="J82" s="380">
        <v>8</v>
      </c>
      <c r="K82" s="381">
        <v>9</v>
      </c>
      <c r="L82" s="381">
        <v>10</v>
      </c>
      <c r="AC82" s="381" t="s">
        <v>415</v>
      </c>
      <c r="AD82" s="380">
        <v>0</v>
      </c>
      <c r="AE82" s="380">
        <v>1</v>
      </c>
      <c r="AF82" s="380">
        <v>2</v>
      </c>
      <c r="AG82" s="380">
        <v>3</v>
      </c>
      <c r="AH82" s="380">
        <v>4</v>
      </c>
      <c r="AI82" s="380">
        <v>5</v>
      </c>
      <c r="AJ82" s="380">
        <v>6</v>
      </c>
      <c r="AK82" s="380">
        <v>7</v>
      </c>
      <c r="AL82" s="380">
        <v>8</v>
      </c>
      <c r="AM82" s="381">
        <v>9</v>
      </c>
      <c r="AN82" s="381">
        <v>10</v>
      </c>
      <c r="BE82" s="381" t="s">
        <v>415</v>
      </c>
      <c r="BF82" s="380">
        <v>0</v>
      </c>
      <c r="BG82" s="380">
        <v>1</v>
      </c>
      <c r="BH82" s="380">
        <v>2</v>
      </c>
      <c r="BI82" s="380">
        <v>3</v>
      </c>
      <c r="BJ82" s="380">
        <v>4</v>
      </c>
      <c r="BK82" s="380">
        <v>5</v>
      </c>
      <c r="BL82" s="380">
        <v>6</v>
      </c>
      <c r="BM82" s="380">
        <v>7</v>
      </c>
      <c r="BN82" s="380">
        <v>8</v>
      </c>
      <c r="BO82" s="381">
        <v>9</v>
      </c>
      <c r="BP82" s="381">
        <v>10</v>
      </c>
      <c r="CG82" s="388" t="s">
        <v>415</v>
      </c>
      <c r="CH82" s="390">
        <v>0</v>
      </c>
      <c r="CI82" s="390">
        <v>1</v>
      </c>
      <c r="CJ82" s="390">
        <v>2</v>
      </c>
      <c r="CK82" s="389">
        <v>3</v>
      </c>
      <c r="CL82" s="389">
        <v>4</v>
      </c>
      <c r="CM82" s="389">
        <v>5</v>
      </c>
      <c r="CN82" s="390">
        <v>6</v>
      </c>
      <c r="CO82" s="389">
        <v>7</v>
      </c>
      <c r="CP82" s="390">
        <v>8</v>
      </c>
      <c r="CQ82" s="388">
        <v>9</v>
      </c>
      <c r="CR82" s="393">
        <v>10</v>
      </c>
      <c r="DI82" s="381" t="s">
        <v>72</v>
      </c>
      <c r="DJ82" s="380">
        <v>0</v>
      </c>
      <c r="DK82" s="380">
        <v>1</v>
      </c>
      <c r="DL82" s="380">
        <v>2</v>
      </c>
      <c r="DM82" s="380">
        <v>3</v>
      </c>
      <c r="DN82" s="380">
        <v>4</v>
      </c>
      <c r="DO82" s="380">
        <v>5</v>
      </c>
      <c r="DP82" s="380">
        <v>6</v>
      </c>
      <c r="DQ82" s="380">
        <v>7</v>
      </c>
      <c r="DR82" s="380">
        <v>8</v>
      </c>
      <c r="DS82" s="381">
        <v>9</v>
      </c>
      <c r="DT82" s="381">
        <v>10</v>
      </c>
    </row>
    <row r="83" spans="1:124" x14ac:dyDescent="0.15">
      <c r="A83" s="380">
        <v>0</v>
      </c>
      <c r="B83" s="384">
        <v>40</v>
      </c>
      <c r="C83" s="384">
        <v>40</v>
      </c>
      <c r="D83" s="384">
        <v>40</v>
      </c>
      <c r="E83" s="384">
        <v>40</v>
      </c>
      <c r="F83" s="384">
        <v>40</v>
      </c>
      <c r="G83" s="384">
        <v>44</v>
      </c>
      <c r="H83" s="384">
        <v>47</v>
      </c>
      <c r="I83" s="384">
        <v>51</v>
      </c>
      <c r="J83" s="384">
        <v>54</v>
      </c>
      <c r="K83" s="384">
        <v>72</v>
      </c>
      <c r="L83" s="384">
        <v>72</v>
      </c>
      <c r="AC83" s="380">
        <v>0</v>
      </c>
      <c r="AD83" s="384">
        <v>40</v>
      </c>
      <c r="AE83" s="384">
        <v>40</v>
      </c>
      <c r="AF83" s="384">
        <v>40</v>
      </c>
      <c r="AG83" s="384">
        <v>40</v>
      </c>
      <c r="AH83" s="384">
        <v>40</v>
      </c>
      <c r="AI83" s="384">
        <v>44</v>
      </c>
      <c r="AJ83" s="384">
        <v>47</v>
      </c>
      <c r="AK83" s="384">
        <v>51</v>
      </c>
      <c r="AL83" s="384">
        <v>57</v>
      </c>
      <c r="AM83" s="384">
        <v>71</v>
      </c>
      <c r="AN83" s="384">
        <v>71</v>
      </c>
      <c r="BE83" s="380">
        <v>0</v>
      </c>
      <c r="BF83" s="384">
        <v>40</v>
      </c>
      <c r="BG83" s="384">
        <v>40</v>
      </c>
      <c r="BH83" s="384">
        <v>40</v>
      </c>
      <c r="BI83" s="384">
        <v>40</v>
      </c>
      <c r="BJ83" s="384">
        <v>40</v>
      </c>
      <c r="BK83" s="384">
        <v>44</v>
      </c>
      <c r="BL83" s="384">
        <v>47</v>
      </c>
      <c r="BM83" s="384">
        <v>51</v>
      </c>
      <c r="BN83" s="384">
        <v>57</v>
      </c>
      <c r="BO83" s="384">
        <v>74</v>
      </c>
      <c r="BP83" s="384">
        <v>74</v>
      </c>
      <c r="CG83" s="390">
        <v>0</v>
      </c>
      <c r="CH83" s="391">
        <v>40</v>
      </c>
      <c r="CI83" s="391">
        <v>40</v>
      </c>
      <c r="CJ83" s="391">
        <v>40</v>
      </c>
      <c r="CK83" s="391">
        <v>40</v>
      </c>
      <c r="CL83" s="391">
        <v>40</v>
      </c>
      <c r="CM83" s="391">
        <v>47</v>
      </c>
      <c r="CN83" s="391">
        <v>47</v>
      </c>
      <c r="CO83" s="391">
        <v>51</v>
      </c>
      <c r="CP83" s="391">
        <v>57</v>
      </c>
      <c r="CQ83" s="391">
        <v>74</v>
      </c>
      <c r="CR83" s="391">
        <v>74</v>
      </c>
      <c r="DI83" s="380">
        <v>0</v>
      </c>
      <c r="DJ83" s="384">
        <v>40</v>
      </c>
      <c r="DK83" s="384">
        <v>40</v>
      </c>
      <c r="DL83" s="384">
        <v>40</v>
      </c>
      <c r="DM83" s="384">
        <v>40</v>
      </c>
      <c r="DN83" s="384">
        <v>40</v>
      </c>
      <c r="DO83" s="384">
        <v>47</v>
      </c>
      <c r="DP83" s="384">
        <v>51</v>
      </c>
      <c r="DQ83" s="384">
        <v>54</v>
      </c>
      <c r="DR83" s="384">
        <v>57</v>
      </c>
      <c r="DS83" s="384">
        <v>76</v>
      </c>
      <c r="DT83" s="384">
        <v>76</v>
      </c>
    </row>
    <row r="84" spans="1:124" x14ac:dyDescent="0.15">
      <c r="A84" s="381">
        <v>1</v>
      </c>
      <c r="B84" s="384">
        <v>40</v>
      </c>
      <c r="C84" s="384">
        <v>40</v>
      </c>
      <c r="D84" s="384">
        <v>40</v>
      </c>
      <c r="E84" s="384">
        <v>40</v>
      </c>
      <c r="F84" s="384">
        <v>40</v>
      </c>
      <c r="G84" s="384">
        <v>44</v>
      </c>
      <c r="H84" s="384">
        <v>47</v>
      </c>
      <c r="I84" s="384">
        <v>51</v>
      </c>
      <c r="J84" s="384">
        <v>54</v>
      </c>
      <c r="K84" s="384">
        <v>72</v>
      </c>
      <c r="L84" s="384">
        <v>72</v>
      </c>
      <c r="AC84" s="380">
        <v>1</v>
      </c>
      <c r="AD84" s="384">
        <v>40</v>
      </c>
      <c r="AE84" s="384">
        <v>40</v>
      </c>
      <c r="AF84" s="384">
        <v>40</v>
      </c>
      <c r="AG84" s="384">
        <v>40</v>
      </c>
      <c r="AH84" s="384">
        <v>40</v>
      </c>
      <c r="AI84" s="384">
        <v>44</v>
      </c>
      <c r="AJ84" s="384">
        <v>47</v>
      </c>
      <c r="AK84" s="384">
        <v>51</v>
      </c>
      <c r="AL84" s="384">
        <v>57</v>
      </c>
      <c r="AM84" s="384">
        <v>71</v>
      </c>
      <c r="AN84" s="384">
        <v>71</v>
      </c>
      <c r="BE84" s="380">
        <v>1</v>
      </c>
      <c r="BF84" s="384">
        <v>40</v>
      </c>
      <c r="BG84" s="384">
        <v>40</v>
      </c>
      <c r="BH84" s="384">
        <v>40</v>
      </c>
      <c r="BI84" s="384">
        <v>40</v>
      </c>
      <c r="BJ84" s="384">
        <v>40</v>
      </c>
      <c r="BK84" s="384">
        <v>44</v>
      </c>
      <c r="BL84" s="384">
        <v>47</v>
      </c>
      <c r="BM84" s="384">
        <v>51</v>
      </c>
      <c r="BN84" s="384">
        <v>57</v>
      </c>
      <c r="BO84" s="384">
        <v>74</v>
      </c>
      <c r="BP84" s="384">
        <v>74</v>
      </c>
      <c r="CG84" s="390">
        <v>1</v>
      </c>
      <c r="CH84" s="394">
        <v>40</v>
      </c>
      <c r="CI84" s="391">
        <v>40</v>
      </c>
      <c r="CJ84" s="391">
        <v>40</v>
      </c>
      <c r="CK84" s="391">
        <v>40</v>
      </c>
      <c r="CL84" s="391">
        <v>40</v>
      </c>
      <c r="CM84" s="394">
        <v>47</v>
      </c>
      <c r="CN84" s="384">
        <v>47</v>
      </c>
      <c r="CO84" s="394">
        <v>51</v>
      </c>
      <c r="CP84" s="394">
        <v>57</v>
      </c>
      <c r="CQ84" s="394">
        <v>74</v>
      </c>
      <c r="CR84" s="394">
        <v>74</v>
      </c>
      <c r="DI84" s="381">
        <v>1</v>
      </c>
      <c r="DJ84" s="384">
        <v>40</v>
      </c>
      <c r="DK84" s="384">
        <v>40</v>
      </c>
      <c r="DL84" s="384">
        <v>40</v>
      </c>
      <c r="DM84" s="384">
        <v>40</v>
      </c>
      <c r="DN84" s="384">
        <v>40</v>
      </c>
      <c r="DO84" s="384">
        <v>47</v>
      </c>
      <c r="DP84" s="384">
        <v>51</v>
      </c>
      <c r="DQ84" s="384">
        <v>54</v>
      </c>
      <c r="DR84" s="384">
        <v>57</v>
      </c>
      <c r="DS84" s="384">
        <v>76</v>
      </c>
      <c r="DT84" s="384">
        <v>76</v>
      </c>
    </row>
    <row r="85" spans="1:124" x14ac:dyDescent="0.15">
      <c r="A85" s="380">
        <v>2</v>
      </c>
      <c r="B85" s="384">
        <v>40</v>
      </c>
      <c r="C85" s="384">
        <v>40</v>
      </c>
      <c r="D85" s="384">
        <v>40</v>
      </c>
      <c r="E85" s="384">
        <v>40</v>
      </c>
      <c r="F85" s="384">
        <v>40</v>
      </c>
      <c r="G85" s="384">
        <v>44</v>
      </c>
      <c r="H85" s="384">
        <v>47</v>
      </c>
      <c r="I85" s="384">
        <v>51</v>
      </c>
      <c r="J85" s="384">
        <v>54</v>
      </c>
      <c r="K85" s="384">
        <v>72</v>
      </c>
      <c r="L85" s="384">
        <v>72</v>
      </c>
      <c r="AC85" s="380">
        <v>2</v>
      </c>
      <c r="AD85" s="384">
        <v>40</v>
      </c>
      <c r="AE85" s="384">
        <v>40</v>
      </c>
      <c r="AF85" s="384">
        <v>40</v>
      </c>
      <c r="AG85" s="384">
        <v>40</v>
      </c>
      <c r="AH85" s="384">
        <v>40</v>
      </c>
      <c r="AI85" s="384">
        <v>44</v>
      </c>
      <c r="AJ85" s="384">
        <v>47</v>
      </c>
      <c r="AK85" s="384">
        <v>51</v>
      </c>
      <c r="AL85" s="384">
        <v>57</v>
      </c>
      <c r="AM85" s="384">
        <v>71</v>
      </c>
      <c r="AN85" s="384">
        <v>71</v>
      </c>
      <c r="BE85" s="380">
        <v>2</v>
      </c>
      <c r="BF85" s="384">
        <v>40</v>
      </c>
      <c r="BG85" s="384">
        <v>40</v>
      </c>
      <c r="BH85" s="384">
        <v>40</v>
      </c>
      <c r="BI85" s="384">
        <v>40</v>
      </c>
      <c r="BJ85" s="384">
        <v>40</v>
      </c>
      <c r="BK85" s="384">
        <v>44</v>
      </c>
      <c r="BL85" s="384">
        <v>47</v>
      </c>
      <c r="BM85" s="384">
        <v>51</v>
      </c>
      <c r="BN85" s="384">
        <v>57</v>
      </c>
      <c r="BO85" s="384">
        <v>74</v>
      </c>
      <c r="BP85" s="384">
        <v>74</v>
      </c>
      <c r="CG85" s="390">
        <v>2</v>
      </c>
      <c r="CH85" s="391">
        <v>40</v>
      </c>
      <c r="CI85" s="391">
        <v>40</v>
      </c>
      <c r="CJ85" s="391">
        <v>40</v>
      </c>
      <c r="CK85" s="391">
        <v>40</v>
      </c>
      <c r="CL85" s="391">
        <v>40</v>
      </c>
      <c r="CM85" s="391">
        <v>47</v>
      </c>
      <c r="CN85" s="391">
        <v>47</v>
      </c>
      <c r="CO85" s="391">
        <v>51</v>
      </c>
      <c r="CP85" s="391">
        <v>57</v>
      </c>
      <c r="CQ85" s="391">
        <v>74</v>
      </c>
      <c r="CR85" s="391">
        <v>74</v>
      </c>
      <c r="DI85" s="380">
        <v>2</v>
      </c>
      <c r="DJ85" s="384">
        <v>40</v>
      </c>
      <c r="DK85" s="384">
        <v>40</v>
      </c>
      <c r="DL85" s="384">
        <v>40</v>
      </c>
      <c r="DM85" s="384">
        <v>40</v>
      </c>
      <c r="DN85" s="384">
        <v>40</v>
      </c>
      <c r="DO85" s="384">
        <v>47</v>
      </c>
      <c r="DP85" s="384">
        <v>51</v>
      </c>
      <c r="DQ85" s="384">
        <v>54</v>
      </c>
      <c r="DR85" s="384">
        <v>57</v>
      </c>
      <c r="DS85" s="384">
        <v>76</v>
      </c>
      <c r="DT85" s="384">
        <v>76</v>
      </c>
    </row>
    <row r="86" spans="1:124" x14ac:dyDescent="0.15">
      <c r="A86" s="380">
        <v>3</v>
      </c>
      <c r="B86" s="384">
        <v>40</v>
      </c>
      <c r="C86" s="384">
        <v>40</v>
      </c>
      <c r="D86" s="384">
        <v>40</v>
      </c>
      <c r="E86" s="384">
        <v>40</v>
      </c>
      <c r="F86" s="384">
        <v>40</v>
      </c>
      <c r="G86" s="384">
        <v>44</v>
      </c>
      <c r="H86" s="384">
        <v>47</v>
      </c>
      <c r="I86" s="384">
        <v>51</v>
      </c>
      <c r="J86" s="384">
        <v>54</v>
      </c>
      <c r="K86" s="384">
        <v>72</v>
      </c>
      <c r="L86" s="384">
        <v>72</v>
      </c>
      <c r="AC86" s="380">
        <v>3</v>
      </c>
      <c r="AD86" s="384">
        <v>40</v>
      </c>
      <c r="AE86" s="384">
        <v>40</v>
      </c>
      <c r="AF86" s="384">
        <v>40</v>
      </c>
      <c r="AG86" s="384">
        <v>40</v>
      </c>
      <c r="AH86" s="384">
        <v>40</v>
      </c>
      <c r="AI86" s="384">
        <v>44</v>
      </c>
      <c r="AJ86" s="384">
        <v>47</v>
      </c>
      <c r="AK86" s="384">
        <v>51</v>
      </c>
      <c r="AL86" s="384">
        <v>57</v>
      </c>
      <c r="AM86" s="384">
        <v>71</v>
      </c>
      <c r="AN86" s="384">
        <v>71</v>
      </c>
      <c r="BE86" s="380">
        <v>3</v>
      </c>
      <c r="BF86" s="384">
        <v>40</v>
      </c>
      <c r="BG86" s="384">
        <v>40</v>
      </c>
      <c r="BH86" s="384">
        <v>40</v>
      </c>
      <c r="BI86" s="384">
        <v>40</v>
      </c>
      <c r="BJ86" s="384">
        <v>40</v>
      </c>
      <c r="BK86" s="384">
        <v>44</v>
      </c>
      <c r="BL86" s="384">
        <v>47</v>
      </c>
      <c r="BM86" s="384">
        <v>51</v>
      </c>
      <c r="BN86" s="384">
        <v>57</v>
      </c>
      <c r="BO86" s="384">
        <v>74</v>
      </c>
      <c r="BP86" s="384">
        <v>74</v>
      </c>
      <c r="CG86" s="390">
        <v>3</v>
      </c>
      <c r="CH86" s="391">
        <v>40</v>
      </c>
      <c r="CI86" s="391">
        <v>40</v>
      </c>
      <c r="CJ86" s="391">
        <v>40</v>
      </c>
      <c r="CK86" s="391">
        <v>40</v>
      </c>
      <c r="CL86" s="391">
        <v>40</v>
      </c>
      <c r="CM86" s="391">
        <v>47</v>
      </c>
      <c r="CN86" s="391">
        <v>47</v>
      </c>
      <c r="CO86" s="391">
        <v>51</v>
      </c>
      <c r="CP86" s="391">
        <v>57</v>
      </c>
      <c r="CQ86" s="391">
        <v>74</v>
      </c>
      <c r="CR86" s="391">
        <v>74</v>
      </c>
      <c r="DI86" s="380">
        <v>3</v>
      </c>
      <c r="DJ86" s="384">
        <v>40</v>
      </c>
      <c r="DK86" s="384">
        <v>40</v>
      </c>
      <c r="DL86" s="384">
        <v>40</v>
      </c>
      <c r="DM86" s="384">
        <v>40</v>
      </c>
      <c r="DN86" s="384">
        <v>40</v>
      </c>
      <c r="DO86" s="384">
        <v>47</v>
      </c>
      <c r="DP86" s="384">
        <v>51</v>
      </c>
      <c r="DQ86" s="384">
        <v>54</v>
      </c>
      <c r="DR86" s="384">
        <v>57</v>
      </c>
      <c r="DS86" s="384">
        <v>76</v>
      </c>
      <c r="DT86" s="384">
        <v>76</v>
      </c>
    </row>
    <row r="87" spans="1:124" x14ac:dyDescent="0.15">
      <c r="A87" s="380">
        <v>4</v>
      </c>
      <c r="B87" s="384">
        <v>40</v>
      </c>
      <c r="C87" s="384">
        <v>40</v>
      </c>
      <c r="D87" s="384">
        <v>40</v>
      </c>
      <c r="E87" s="384">
        <v>40</v>
      </c>
      <c r="F87" s="384">
        <v>40</v>
      </c>
      <c r="G87" s="384">
        <v>44</v>
      </c>
      <c r="H87" s="384">
        <v>47</v>
      </c>
      <c r="I87" s="384">
        <v>51</v>
      </c>
      <c r="J87" s="384">
        <v>54</v>
      </c>
      <c r="K87" s="384">
        <v>72</v>
      </c>
      <c r="L87" s="384">
        <v>72</v>
      </c>
      <c r="AC87" s="380">
        <v>4</v>
      </c>
      <c r="AD87" s="384">
        <v>40</v>
      </c>
      <c r="AE87" s="384">
        <v>40</v>
      </c>
      <c r="AF87" s="384">
        <v>40</v>
      </c>
      <c r="AG87" s="384">
        <v>40</v>
      </c>
      <c r="AH87" s="384">
        <v>40</v>
      </c>
      <c r="AI87" s="384">
        <v>44</v>
      </c>
      <c r="AJ87" s="384">
        <v>47</v>
      </c>
      <c r="AK87" s="384">
        <v>51</v>
      </c>
      <c r="AL87" s="384">
        <v>57</v>
      </c>
      <c r="AM87" s="384">
        <v>71</v>
      </c>
      <c r="AN87" s="384">
        <v>71</v>
      </c>
      <c r="BE87" s="380">
        <v>4</v>
      </c>
      <c r="BF87" s="384">
        <v>40</v>
      </c>
      <c r="BG87" s="384">
        <v>40</v>
      </c>
      <c r="BH87" s="384">
        <v>40</v>
      </c>
      <c r="BI87" s="384">
        <v>40</v>
      </c>
      <c r="BJ87" s="384">
        <v>40</v>
      </c>
      <c r="BK87" s="384">
        <v>44</v>
      </c>
      <c r="BL87" s="384">
        <v>47</v>
      </c>
      <c r="BM87" s="384">
        <v>51</v>
      </c>
      <c r="BN87" s="384">
        <v>57</v>
      </c>
      <c r="BO87" s="384">
        <v>74</v>
      </c>
      <c r="BP87" s="384">
        <v>74</v>
      </c>
      <c r="CG87" s="390">
        <v>4</v>
      </c>
      <c r="CH87" s="391">
        <v>40</v>
      </c>
      <c r="CI87" s="391">
        <v>40</v>
      </c>
      <c r="CJ87" s="391">
        <v>40</v>
      </c>
      <c r="CK87" s="391">
        <v>40</v>
      </c>
      <c r="CL87" s="391">
        <v>40</v>
      </c>
      <c r="CM87" s="391">
        <v>47</v>
      </c>
      <c r="CN87" s="391">
        <v>47</v>
      </c>
      <c r="CO87" s="391">
        <v>51</v>
      </c>
      <c r="CP87" s="391">
        <v>57</v>
      </c>
      <c r="CQ87" s="391">
        <v>74</v>
      </c>
      <c r="CR87" s="391">
        <v>74</v>
      </c>
      <c r="DI87" s="380">
        <v>4</v>
      </c>
      <c r="DJ87" s="384">
        <v>40</v>
      </c>
      <c r="DK87" s="384">
        <v>40</v>
      </c>
      <c r="DL87" s="384">
        <v>40</v>
      </c>
      <c r="DM87" s="384">
        <v>40</v>
      </c>
      <c r="DN87" s="384">
        <v>40</v>
      </c>
      <c r="DO87" s="384">
        <v>47</v>
      </c>
      <c r="DP87" s="384">
        <v>51</v>
      </c>
      <c r="DQ87" s="384">
        <v>54</v>
      </c>
      <c r="DR87" s="384">
        <v>57</v>
      </c>
      <c r="DS87" s="384">
        <v>76</v>
      </c>
      <c r="DT87" s="384">
        <v>76</v>
      </c>
    </row>
    <row r="88" spans="1:124" x14ac:dyDescent="0.15">
      <c r="A88" s="380">
        <v>5</v>
      </c>
      <c r="B88" s="384">
        <v>40</v>
      </c>
      <c r="C88" s="384">
        <v>40</v>
      </c>
      <c r="D88" s="384">
        <v>40</v>
      </c>
      <c r="E88" s="384">
        <v>40</v>
      </c>
      <c r="F88" s="384">
        <v>40</v>
      </c>
      <c r="G88" s="384">
        <v>44</v>
      </c>
      <c r="H88" s="384">
        <v>47</v>
      </c>
      <c r="I88" s="384">
        <v>51</v>
      </c>
      <c r="J88" s="384">
        <v>54</v>
      </c>
      <c r="K88" s="384">
        <v>72</v>
      </c>
      <c r="L88" s="384">
        <v>72</v>
      </c>
      <c r="AC88" s="380">
        <v>5</v>
      </c>
      <c r="AD88" s="384">
        <v>40</v>
      </c>
      <c r="AE88" s="384">
        <v>40</v>
      </c>
      <c r="AF88" s="384">
        <v>40</v>
      </c>
      <c r="AG88" s="384">
        <v>40</v>
      </c>
      <c r="AH88" s="384">
        <v>40</v>
      </c>
      <c r="AI88" s="384">
        <v>44</v>
      </c>
      <c r="AJ88" s="384">
        <v>47</v>
      </c>
      <c r="AK88" s="384">
        <v>51</v>
      </c>
      <c r="AL88" s="384">
        <v>57</v>
      </c>
      <c r="AM88" s="384">
        <v>71</v>
      </c>
      <c r="AN88" s="384">
        <v>71</v>
      </c>
      <c r="BE88" s="380">
        <v>5</v>
      </c>
      <c r="BF88" s="384">
        <v>40</v>
      </c>
      <c r="BG88" s="384">
        <v>40</v>
      </c>
      <c r="BH88" s="384">
        <v>40</v>
      </c>
      <c r="BI88" s="384">
        <v>40</v>
      </c>
      <c r="BJ88" s="384">
        <v>40</v>
      </c>
      <c r="BK88" s="384">
        <v>44</v>
      </c>
      <c r="BL88" s="384">
        <v>47</v>
      </c>
      <c r="BM88" s="384">
        <v>51</v>
      </c>
      <c r="BN88" s="384">
        <v>57</v>
      </c>
      <c r="BO88" s="384">
        <v>74</v>
      </c>
      <c r="BP88" s="384">
        <v>74</v>
      </c>
      <c r="CG88" s="390">
        <v>5</v>
      </c>
      <c r="CH88" s="391">
        <v>40</v>
      </c>
      <c r="CI88" s="391">
        <v>40</v>
      </c>
      <c r="CJ88" s="391">
        <v>40</v>
      </c>
      <c r="CK88" s="391">
        <v>40</v>
      </c>
      <c r="CL88" s="391">
        <v>40</v>
      </c>
      <c r="CM88" s="391">
        <v>47</v>
      </c>
      <c r="CN88" s="391">
        <v>47</v>
      </c>
      <c r="CO88" s="391">
        <v>51</v>
      </c>
      <c r="CP88" s="391">
        <v>57</v>
      </c>
      <c r="CQ88" s="391">
        <v>74</v>
      </c>
      <c r="CR88" s="391">
        <v>74</v>
      </c>
      <c r="DI88" s="380">
        <v>5</v>
      </c>
      <c r="DJ88" s="384">
        <v>44</v>
      </c>
      <c r="DK88" s="384">
        <v>44</v>
      </c>
      <c r="DL88" s="384">
        <v>44</v>
      </c>
      <c r="DM88" s="384">
        <v>44</v>
      </c>
      <c r="DN88" s="384">
        <v>44</v>
      </c>
      <c r="DO88" s="395">
        <v>51</v>
      </c>
      <c r="DP88" s="384">
        <v>54</v>
      </c>
      <c r="DQ88" s="384">
        <v>57</v>
      </c>
      <c r="DR88" s="384">
        <v>60</v>
      </c>
      <c r="DS88" s="384">
        <v>80</v>
      </c>
      <c r="DT88" s="384">
        <v>80</v>
      </c>
    </row>
    <row r="89" spans="1:124" x14ac:dyDescent="0.15">
      <c r="A89" s="380">
        <v>6</v>
      </c>
      <c r="B89" s="384">
        <v>40</v>
      </c>
      <c r="C89" s="384">
        <v>40</v>
      </c>
      <c r="D89" s="384">
        <v>40</v>
      </c>
      <c r="E89" s="384">
        <v>40</v>
      </c>
      <c r="F89" s="384">
        <v>40</v>
      </c>
      <c r="G89" s="384">
        <v>44</v>
      </c>
      <c r="H89" s="384">
        <v>47</v>
      </c>
      <c r="I89" s="384">
        <v>51</v>
      </c>
      <c r="J89" s="384">
        <v>54</v>
      </c>
      <c r="K89" s="384">
        <v>72</v>
      </c>
      <c r="L89" s="384">
        <v>72</v>
      </c>
      <c r="AC89" s="380">
        <v>6</v>
      </c>
      <c r="AD89" s="384">
        <v>40</v>
      </c>
      <c r="AE89" s="384">
        <v>40</v>
      </c>
      <c r="AF89" s="384">
        <v>40</v>
      </c>
      <c r="AG89" s="384">
        <v>40</v>
      </c>
      <c r="AH89" s="384">
        <v>40</v>
      </c>
      <c r="AI89" s="384">
        <v>44</v>
      </c>
      <c r="AJ89" s="384">
        <v>47</v>
      </c>
      <c r="AK89" s="384">
        <v>51</v>
      </c>
      <c r="AL89" s="384">
        <v>57</v>
      </c>
      <c r="AM89" s="384">
        <v>71</v>
      </c>
      <c r="AN89" s="384">
        <v>71</v>
      </c>
      <c r="BE89" s="380">
        <v>6</v>
      </c>
      <c r="BF89" s="384">
        <v>44</v>
      </c>
      <c r="BG89" s="384">
        <v>44</v>
      </c>
      <c r="BH89" s="384">
        <v>44</v>
      </c>
      <c r="BI89" s="384">
        <v>44</v>
      </c>
      <c r="BJ89" s="384">
        <v>44</v>
      </c>
      <c r="BK89" s="384">
        <v>47</v>
      </c>
      <c r="BL89" s="384">
        <v>51</v>
      </c>
      <c r="BM89" s="384">
        <v>54</v>
      </c>
      <c r="BN89" s="384">
        <v>60</v>
      </c>
      <c r="BO89" s="384">
        <v>78</v>
      </c>
      <c r="BP89" s="384">
        <v>78</v>
      </c>
      <c r="CG89" s="390">
        <v>6</v>
      </c>
      <c r="CH89" s="391">
        <v>44</v>
      </c>
      <c r="CI89" s="391">
        <v>44</v>
      </c>
      <c r="CJ89" s="391">
        <v>44</v>
      </c>
      <c r="CK89" s="391">
        <v>44</v>
      </c>
      <c r="CL89" s="391">
        <v>44</v>
      </c>
      <c r="CM89" s="391">
        <v>51</v>
      </c>
      <c r="CN89" s="391">
        <v>51</v>
      </c>
      <c r="CO89" s="391">
        <v>54</v>
      </c>
      <c r="CP89" s="391">
        <v>60</v>
      </c>
      <c r="CQ89" s="391">
        <v>78</v>
      </c>
      <c r="CR89" s="391">
        <v>78</v>
      </c>
      <c r="DI89" s="380">
        <v>6</v>
      </c>
      <c r="DJ89" s="384">
        <v>44</v>
      </c>
      <c r="DK89" s="384">
        <v>44</v>
      </c>
      <c r="DL89" s="384">
        <v>44</v>
      </c>
      <c r="DM89" s="384">
        <v>44</v>
      </c>
      <c r="DN89" s="384">
        <v>44</v>
      </c>
      <c r="DO89" s="384">
        <v>51</v>
      </c>
      <c r="DP89" s="384">
        <v>54</v>
      </c>
      <c r="DQ89" s="384">
        <v>57</v>
      </c>
      <c r="DR89" s="384">
        <v>60</v>
      </c>
      <c r="DS89" s="384">
        <v>80</v>
      </c>
      <c r="DT89" s="384">
        <v>80</v>
      </c>
    </row>
    <row r="90" spans="1:124" x14ac:dyDescent="0.15">
      <c r="A90" s="380">
        <v>7</v>
      </c>
      <c r="B90" s="384">
        <v>40</v>
      </c>
      <c r="C90" s="384">
        <v>40</v>
      </c>
      <c r="D90" s="384">
        <v>40</v>
      </c>
      <c r="E90" s="384">
        <v>40</v>
      </c>
      <c r="F90" s="384">
        <v>40</v>
      </c>
      <c r="G90" s="384">
        <v>44</v>
      </c>
      <c r="H90" s="384">
        <v>47</v>
      </c>
      <c r="I90" s="384">
        <v>51</v>
      </c>
      <c r="J90" s="384">
        <v>54</v>
      </c>
      <c r="K90" s="384">
        <v>72</v>
      </c>
      <c r="L90" s="384">
        <v>72</v>
      </c>
      <c r="AC90" s="380">
        <v>7</v>
      </c>
      <c r="AD90" s="384">
        <v>44</v>
      </c>
      <c r="AE90" s="384">
        <v>44</v>
      </c>
      <c r="AF90" s="384">
        <v>44</v>
      </c>
      <c r="AG90" s="384">
        <v>44</v>
      </c>
      <c r="AH90" s="384">
        <v>44</v>
      </c>
      <c r="AI90" s="384">
        <v>47</v>
      </c>
      <c r="AJ90" s="384">
        <v>51</v>
      </c>
      <c r="AK90" s="384">
        <v>54</v>
      </c>
      <c r="AL90" s="384">
        <v>60</v>
      </c>
      <c r="AM90" s="384">
        <v>75</v>
      </c>
      <c r="AN90" s="384">
        <v>75</v>
      </c>
      <c r="BE90" s="380">
        <v>7</v>
      </c>
      <c r="BF90" s="384">
        <v>44</v>
      </c>
      <c r="BG90" s="384">
        <v>44</v>
      </c>
      <c r="BH90" s="384">
        <v>44</v>
      </c>
      <c r="BI90" s="384">
        <v>44</v>
      </c>
      <c r="BJ90" s="384">
        <v>44</v>
      </c>
      <c r="BK90" s="384">
        <v>47</v>
      </c>
      <c r="BL90" s="384">
        <v>51</v>
      </c>
      <c r="BM90" s="384">
        <v>54</v>
      </c>
      <c r="BN90" s="384">
        <v>60</v>
      </c>
      <c r="BO90" s="384">
        <v>78</v>
      </c>
      <c r="BP90" s="384">
        <v>78</v>
      </c>
      <c r="CG90" s="390">
        <v>7</v>
      </c>
      <c r="CH90" s="391">
        <v>44</v>
      </c>
      <c r="CI90" s="391">
        <v>44</v>
      </c>
      <c r="CJ90" s="391">
        <v>44</v>
      </c>
      <c r="CK90" s="391">
        <v>44</v>
      </c>
      <c r="CL90" s="391">
        <v>44</v>
      </c>
      <c r="CM90" s="391">
        <v>51</v>
      </c>
      <c r="CN90" s="391">
        <v>51</v>
      </c>
      <c r="CO90" s="391">
        <v>54</v>
      </c>
      <c r="CP90" s="391">
        <v>60</v>
      </c>
      <c r="CQ90" s="391">
        <v>78</v>
      </c>
      <c r="CR90" s="391">
        <v>78</v>
      </c>
      <c r="DI90" s="380">
        <v>7</v>
      </c>
      <c r="DJ90" s="384">
        <v>44</v>
      </c>
      <c r="DK90" s="384">
        <v>44</v>
      </c>
      <c r="DL90" s="384">
        <v>44</v>
      </c>
      <c r="DM90" s="384">
        <v>44</v>
      </c>
      <c r="DN90" s="384">
        <v>44</v>
      </c>
      <c r="DO90" s="384">
        <v>51</v>
      </c>
      <c r="DP90" s="384">
        <v>54</v>
      </c>
      <c r="DQ90" s="384">
        <v>57</v>
      </c>
      <c r="DR90" s="384">
        <v>60</v>
      </c>
      <c r="DS90" s="384">
        <v>80</v>
      </c>
      <c r="DT90" s="384">
        <v>80</v>
      </c>
    </row>
    <row r="91" spans="1:124" x14ac:dyDescent="0.15">
      <c r="A91" s="380">
        <v>8</v>
      </c>
      <c r="B91" s="384">
        <v>44</v>
      </c>
      <c r="C91" s="384">
        <v>44</v>
      </c>
      <c r="D91" s="384">
        <v>44</v>
      </c>
      <c r="E91" s="384">
        <v>44</v>
      </c>
      <c r="F91" s="384">
        <v>44</v>
      </c>
      <c r="G91" s="384">
        <v>47</v>
      </c>
      <c r="H91" s="384">
        <v>51</v>
      </c>
      <c r="I91" s="384">
        <v>54</v>
      </c>
      <c r="J91" s="384">
        <v>57</v>
      </c>
      <c r="K91" s="384">
        <v>76</v>
      </c>
      <c r="L91" s="384">
        <v>76</v>
      </c>
      <c r="AC91" s="380">
        <v>8</v>
      </c>
      <c r="AD91" s="384">
        <v>44</v>
      </c>
      <c r="AE91" s="384">
        <v>44</v>
      </c>
      <c r="AF91" s="384">
        <v>44</v>
      </c>
      <c r="AG91" s="384">
        <v>44</v>
      </c>
      <c r="AH91" s="384">
        <v>44</v>
      </c>
      <c r="AI91" s="384">
        <v>47</v>
      </c>
      <c r="AJ91" s="384">
        <v>51</v>
      </c>
      <c r="AK91" s="384">
        <v>54</v>
      </c>
      <c r="AL91" s="384">
        <v>60</v>
      </c>
      <c r="AM91" s="384">
        <v>75</v>
      </c>
      <c r="AN91" s="384">
        <v>75</v>
      </c>
      <c r="BE91" s="380">
        <v>8</v>
      </c>
      <c r="BF91" s="384">
        <v>44</v>
      </c>
      <c r="BG91" s="384">
        <v>44</v>
      </c>
      <c r="BH91" s="384">
        <v>44</v>
      </c>
      <c r="BI91" s="384">
        <v>44</v>
      </c>
      <c r="BJ91" s="384">
        <v>44</v>
      </c>
      <c r="BK91" s="384">
        <v>47</v>
      </c>
      <c r="BL91" s="384">
        <v>51</v>
      </c>
      <c r="BM91" s="384">
        <v>54</v>
      </c>
      <c r="BN91" s="384">
        <v>60</v>
      </c>
      <c r="BO91" s="384">
        <v>78</v>
      </c>
      <c r="BP91" s="384">
        <v>78</v>
      </c>
      <c r="CG91" s="390">
        <v>8</v>
      </c>
      <c r="CH91" s="391">
        <v>47</v>
      </c>
      <c r="CI91" s="391">
        <v>47</v>
      </c>
      <c r="CJ91" s="391">
        <v>47</v>
      </c>
      <c r="CK91" s="391">
        <v>47</v>
      </c>
      <c r="CL91" s="391">
        <v>47</v>
      </c>
      <c r="CM91" s="391">
        <v>54</v>
      </c>
      <c r="CN91" s="391">
        <v>54</v>
      </c>
      <c r="CO91" s="391">
        <v>57</v>
      </c>
      <c r="CP91" s="391">
        <v>64</v>
      </c>
      <c r="CQ91" s="391">
        <v>82</v>
      </c>
      <c r="CR91" s="391">
        <v>82</v>
      </c>
      <c r="DI91" s="380">
        <v>8</v>
      </c>
      <c r="DJ91" s="384">
        <v>47</v>
      </c>
      <c r="DK91" s="384">
        <v>47</v>
      </c>
      <c r="DL91" s="384">
        <v>47</v>
      </c>
      <c r="DM91" s="384">
        <v>47</v>
      </c>
      <c r="DN91" s="384">
        <v>47</v>
      </c>
      <c r="DO91" s="384">
        <v>54</v>
      </c>
      <c r="DP91" s="384">
        <v>57</v>
      </c>
      <c r="DQ91" s="384">
        <v>60</v>
      </c>
      <c r="DR91" s="384">
        <v>64</v>
      </c>
      <c r="DS91" s="384">
        <v>83</v>
      </c>
      <c r="DT91" s="384">
        <v>83</v>
      </c>
    </row>
    <row r="92" spans="1:124" x14ac:dyDescent="0.15">
      <c r="A92" s="380">
        <v>9</v>
      </c>
      <c r="B92" s="384">
        <v>44</v>
      </c>
      <c r="C92" s="384">
        <v>44</v>
      </c>
      <c r="D92" s="384">
        <v>44</v>
      </c>
      <c r="E92" s="384">
        <v>44</v>
      </c>
      <c r="F92" s="384">
        <v>44</v>
      </c>
      <c r="G92" s="384">
        <v>47</v>
      </c>
      <c r="H92" s="395">
        <v>51</v>
      </c>
      <c r="I92" s="384">
        <v>54</v>
      </c>
      <c r="J92" s="384">
        <v>57</v>
      </c>
      <c r="K92" s="384">
        <v>76</v>
      </c>
      <c r="L92" s="384">
        <v>76</v>
      </c>
      <c r="AC92" s="380">
        <v>9</v>
      </c>
      <c r="AD92" s="384">
        <v>47</v>
      </c>
      <c r="AE92" s="384">
        <v>47</v>
      </c>
      <c r="AF92" s="384">
        <v>47</v>
      </c>
      <c r="AG92" s="384">
        <v>47</v>
      </c>
      <c r="AH92" s="384">
        <v>47</v>
      </c>
      <c r="AI92" s="384">
        <v>51</v>
      </c>
      <c r="AJ92" s="384">
        <v>54</v>
      </c>
      <c r="AK92" s="384">
        <v>57</v>
      </c>
      <c r="AL92" s="384">
        <v>64</v>
      </c>
      <c r="AM92" s="384">
        <v>79</v>
      </c>
      <c r="AN92" s="384">
        <v>79</v>
      </c>
      <c r="BE92" s="380">
        <v>9</v>
      </c>
      <c r="BF92" s="384">
        <v>47</v>
      </c>
      <c r="BG92" s="384">
        <v>47</v>
      </c>
      <c r="BH92" s="384">
        <v>47</v>
      </c>
      <c r="BI92" s="384">
        <v>47</v>
      </c>
      <c r="BJ92" s="384">
        <v>47</v>
      </c>
      <c r="BK92" s="384">
        <v>51</v>
      </c>
      <c r="BL92" s="384">
        <v>54</v>
      </c>
      <c r="BM92" s="384">
        <v>57</v>
      </c>
      <c r="BN92" s="384">
        <v>64</v>
      </c>
      <c r="BO92" s="384">
        <v>82</v>
      </c>
      <c r="BP92" s="384">
        <v>82</v>
      </c>
      <c r="CG92" s="390">
        <v>9</v>
      </c>
      <c r="CH92" s="391">
        <v>47</v>
      </c>
      <c r="CI92" s="391">
        <v>47</v>
      </c>
      <c r="CJ92" s="391">
        <v>47</v>
      </c>
      <c r="CK92" s="391">
        <v>47</v>
      </c>
      <c r="CL92" s="391">
        <v>47</v>
      </c>
      <c r="CM92" s="391">
        <v>54</v>
      </c>
      <c r="CN92" s="391">
        <v>54</v>
      </c>
      <c r="CO92" s="391">
        <v>57</v>
      </c>
      <c r="CP92" s="391">
        <v>64</v>
      </c>
      <c r="CQ92" s="391">
        <v>82</v>
      </c>
      <c r="CR92" s="391">
        <v>82</v>
      </c>
      <c r="DI92" s="380">
        <v>9</v>
      </c>
      <c r="DJ92" s="384">
        <v>51</v>
      </c>
      <c r="DK92" s="384">
        <v>51</v>
      </c>
      <c r="DL92" s="384">
        <v>51</v>
      </c>
      <c r="DM92" s="384">
        <v>51</v>
      </c>
      <c r="DN92" s="384">
        <v>51</v>
      </c>
      <c r="DO92" s="384">
        <v>57</v>
      </c>
      <c r="DP92" s="384">
        <v>60</v>
      </c>
      <c r="DQ92" s="384">
        <v>64</v>
      </c>
      <c r="DR92" s="384">
        <v>68</v>
      </c>
      <c r="DS92" s="384">
        <v>86</v>
      </c>
      <c r="DT92" s="384">
        <v>86</v>
      </c>
    </row>
    <row r="93" spans="1:124" x14ac:dyDescent="0.15">
      <c r="A93" s="380">
        <v>10</v>
      </c>
      <c r="B93" s="384">
        <v>47</v>
      </c>
      <c r="C93" s="384">
        <v>47</v>
      </c>
      <c r="D93" s="384">
        <v>47</v>
      </c>
      <c r="E93" s="384">
        <v>47</v>
      </c>
      <c r="F93" s="384">
        <v>47</v>
      </c>
      <c r="G93" s="384">
        <v>51</v>
      </c>
      <c r="H93" s="384">
        <v>54</v>
      </c>
      <c r="I93" s="384">
        <v>57</v>
      </c>
      <c r="J93" s="384">
        <v>60</v>
      </c>
      <c r="K93" s="384">
        <v>80</v>
      </c>
      <c r="L93" s="384">
        <v>80</v>
      </c>
      <c r="AC93" s="380">
        <v>10</v>
      </c>
      <c r="AD93" s="384">
        <v>47</v>
      </c>
      <c r="AE93" s="384">
        <v>47</v>
      </c>
      <c r="AF93" s="384">
        <v>47</v>
      </c>
      <c r="AG93" s="384">
        <v>47</v>
      </c>
      <c r="AH93" s="384">
        <v>47</v>
      </c>
      <c r="AI93" s="384">
        <v>51</v>
      </c>
      <c r="AJ93" s="384">
        <v>54</v>
      </c>
      <c r="AK93" s="384">
        <v>57</v>
      </c>
      <c r="AL93" s="384">
        <v>64</v>
      </c>
      <c r="AM93" s="384">
        <v>79</v>
      </c>
      <c r="AN93" s="384">
        <v>79</v>
      </c>
      <c r="BE93" s="380">
        <v>10</v>
      </c>
      <c r="BF93" s="384">
        <v>47</v>
      </c>
      <c r="BG93" s="384">
        <v>47</v>
      </c>
      <c r="BH93" s="384">
        <v>47</v>
      </c>
      <c r="BI93" s="384">
        <v>47</v>
      </c>
      <c r="BJ93" s="384">
        <v>47</v>
      </c>
      <c r="BK93" s="384">
        <v>51</v>
      </c>
      <c r="BL93" s="384">
        <v>54</v>
      </c>
      <c r="BM93" s="384">
        <v>57</v>
      </c>
      <c r="BN93" s="384">
        <v>64</v>
      </c>
      <c r="BO93" s="384">
        <v>82</v>
      </c>
      <c r="BP93" s="384">
        <v>82</v>
      </c>
      <c r="CG93" s="390">
        <v>10</v>
      </c>
      <c r="CH93" s="391">
        <v>51</v>
      </c>
      <c r="CI93" s="391">
        <v>51</v>
      </c>
      <c r="CJ93" s="391">
        <v>51</v>
      </c>
      <c r="CK93" s="391">
        <v>51</v>
      </c>
      <c r="CL93" s="391">
        <v>51</v>
      </c>
      <c r="CM93" s="391">
        <v>57</v>
      </c>
      <c r="CN93" s="391">
        <v>57</v>
      </c>
      <c r="CO93" s="391">
        <v>60</v>
      </c>
      <c r="CP93" s="391">
        <v>68</v>
      </c>
      <c r="CQ93" s="391">
        <v>85</v>
      </c>
      <c r="CR93" s="391">
        <v>85</v>
      </c>
      <c r="DI93" s="380">
        <v>10</v>
      </c>
      <c r="DJ93" s="384">
        <v>51</v>
      </c>
      <c r="DK93" s="384">
        <v>51</v>
      </c>
      <c r="DL93" s="384">
        <v>51</v>
      </c>
      <c r="DM93" s="384">
        <v>51</v>
      </c>
      <c r="DN93" s="384">
        <v>51</v>
      </c>
      <c r="DO93" s="384">
        <v>57</v>
      </c>
      <c r="DP93" s="384">
        <v>60</v>
      </c>
      <c r="DQ93" s="384">
        <v>64</v>
      </c>
      <c r="DR93" s="384">
        <v>68</v>
      </c>
      <c r="DS93" s="384">
        <v>86</v>
      </c>
      <c r="DT93" s="384">
        <v>86</v>
      </c>
    </row>
    <row r="94" spans="1:124" x14ac:dyDescent="0.15">
      <c r="A94" s="380">
        <v>11</v>
      </c>
      <c r="B94" s="384">
        <v>47</v>
      </c>
      <c r="C94" s="384">
        <v>47</v>
      </c>
      <c r="D94" s="384">
        <v>47</v>
      </c>
      <c r="E94" s="384">
        <v>47</v>
      </c>
      <c r="F94" s="384">
        <v>47</v>
      </c>
      <c r="G94" s="384">
        <v>51</v>
      </c>
      <c r="H94" s="384">
        <v>54</v>
      </c>
      <c r="I94" s="384">
        <v>57</v>
      </c>
      <c r="J94" s="384">
        <v>60</v>
      </c>
      <c r="K94" s="384">
        <v>80</v>
      </c>
      <c r="L94" s="384">
        <v>80</v>
      </c>
      <c r="AC94" s="380">
        <v>11</v>
      </c>
      <c r="AD94" s="384">
        <v>47</v>
      </c>
      <c r="AE94" s="384">
        <v>47</v>
      </c>
      <c r="AF94" s="384">
        <v>47</v>
      </c>
      <c r="AG94" s="384">
        <v>47</v>
      </c>
      <c r="AH94" s="384">
        <v>47</v>
      </c>
      <c r="AI94" s="384">
        <v>51</v>
      </c>
      <c r="AJ94" s="384">
        <v>54</v>
      </c>
      <c r="AK94" s="384">
        <v>57</v>
      </c>
      <c r="AL94" s="384">
        <v>64</v>
      </c>
      <c r="AM94" s="384">
        <v>79</v>
      </c>
      <c r="AN94" s="384">
        <v>79</v>
      </c>
      <c r="BE94" s="380">
        <v>11</v>
      </c>
      <c r="BF94" s="384">
        <v>47</v>
      </c>
      <c r="BG94" s="384">
        <v>47</v>
      </c>
      <c r="BH94" s="384">
        <v>47</v>
      </c>
      <c r="BI94" s="384">
        <v>47</v>
      </c>
      <c r="BJ94" s="384">
        <v>47</v>
      </c>
      <c r="BK94" s="384">
        <v>51</v>
      </c>
      <c r="BL94" s="384">
        <v>54</v>
      </c>
      <c r="BM94" s="384">
        <v>57</v>
      </c>
      <c r="BN94" s="384">
        <v>64</v>
      </c>
      <c r="BO94" s="384">
        <v>82</v>
      </c>
      <c r="BP94" s="384">
        <v>82</v>
      </c>
      <c r="CG94" s="390">
        <v>11</v>
      </c>
      <c r="CH94" s="391">
        <v>51</v>
      </c>
      <c r="CI94" s="391">
        <v>51</v>
      </c>
      <c r="CJ94" s="391">
        <v>51</v>
      </c>
      <c r="CK94" s="391">
        <v>51</v>
      </c>
      <c r="CL94" s="391">
        <v>51</v>
      </c>
      <c r="CM94" s="391">
        <v>57</v>
      </c>
      <c r="CN94" s="391">
        <v>57</v>
      </c>
      <c r="CO94" s="391">
        <v>60</v>
      </c>
      <c r="CP94" s="391">
        <v>68</v>
      </c>
      <c r="CQ94" s="391">
        <v>85</v>
      </c>
      <c r="CR94" s="391">
        <v>85</v>
      </c>
      <c r="DI94" s="380">
        <v>11</v>
      </c>
      <c r="DJ94" s="384">
        <v>54</v>
      </c>
      <c r="DK94" s="384">
        <v>54</v>
      </c>
      <c r="DL94" s="384">
        <v>54</v>
      </c>
      <c r="DM94" s="384">
        <v>54</v>
      </c>
      <c r="DN94" s="384">
        <v>54</v>
      </c>
      <c r="DO94" s="384">
        <v>60</v>
      </c>
      <c r="DP94" s="384">
        <v>64</v>
      </c>
      <c r="DQ94" s="384">
        <v>68</v>
      </c>
      <c r="DR94" s="384">
        <v>71</v>
      </c>
      <c r="DS94" s="384">
        <v>89</v>
      </c>
      <c r="DT94" s="384">
        <v>89</v>
      </c>
    </row>
    <row r="95" spans="1:124" x14ac:dyDescent="0.15">
      <c r="A95" s="380">
        <v>12</v>
      </c>
      <c r="B95" s="384">
        <v>51</v>
      </c>
      <c r="C95" s="384">
        <v>51</v>
      </c>
      <c r="D95" s="384">
        <v>51</v>
      </c>
      <c r="E95" s="384">
        <v>51</v>
      </c>
      <c r="F95" s="384">
        <v>51</v>
      </c>
      <c r="G95" s="384">
        <v>54</v>
      </c>
      <c r="H95" s="384">
        <v>57</v>
      </c>
      <c r="I95" s="384">
        <v>60</v>
      </c>
      <c r="J95" s="384">
        <v>64</v>
      </c>
      <c r="K95" s="384">
        <v>83</v>
      </c>
      <c r="L95" s="384">
        <v>83</v>
      </c>
      <c r="AC95" s="380">
        <v>12</v>
      </c>
      <c r="AD95" s="384">
        <v>51</v>
      </c>
      <c r="AE95" s="384">
        <v>51</v>
      </c>
      <c r="AF95" s="384">
        <v>51</v>
      </c>
      <c r="AG95" s="384">
        <v>51</v>
      </c>
      <c r="AH95" s="384">
        <v>51</v>
      </c>
      <c r="AI95" s="384">
        <v>54</v>
      </c>
      <c r="AJ95" s="384">
        <v>57</v>
      </c>
      <c r="AK95" s="384">
        <v>60</v>
      </c>
      <c r="AL95" s="384">
        <v>68</v>
      </c>
      <c r="AM95" s="384">
        <v>82</v>
      </c>
      <c r="AN95" s="384">
        <v>82</v>
      </c>
      <c r="BE95" s="380">
        <v>12</v>
      </c>
      <c r="BF95" s="384">
        <v>51</v>
      </c>
      <c r="BG95" s="384">
        <v>51</v>
      </c>
      <c r="BH95" s="384">
        <v>51</v>
      </c>
      <c r="BI95" s="384">
        <v>51</v>
      </c>
      <c r="BJ95" s="384">
        <v>51</v>
      </c>
      <c r="BK95" s="384">
        <v>54</v>
      </c>
      <c r="BL95" s="384">
        <v>57</v>
      </c>
      <c r="BM95" s="384">
        <v>60</v>
      </c>
      <c r="BN95" s="384">
        <v>68</v>
      </c>
      <c r="BO95" s="384">
        <v>85</v>
      </c>
      <c r="BP95" s="384">
        <v>85</v>
      </c>
      <c r="CG95" s="390">
        <v>12</v>
      </c>
      <c r="CH95" s="391">
        <v>54</v>
      </c>
      <c r="CI95" s="391">
        <v>54</v>
      </c>
      <c r="CJ95" s="391">
        <v>54</v>
      </c>
      <c r="CK95" s="391">
        <v>54</v>
      </c>
      <c r="CL95" s="391">
        <v>54</v>
      </c>
      <c r="CM95" s="391">
        <v>60</v>
      </c>
      <c r="CN95" s="391">
        <v>60</v>
      </c>
      <c r="CO95" s="391">
        <v>64</v>
      </c>
      <c r="CP95" s="391">
        <v>71</v>
      </c>
      <c r="CQ95" s="391">
        <v>88</v>
      </c>
      <c r="CR95" s="391">
        <v>88</v>
      </c>
      <c r="DI95" s="380">
        <v>12</v>
      </c>
      <c r="DJ95" s="384">
        <v>57</v>
      </c>
      <c r="DK95" s="384">
        <v>57</v>
      </c>
      <c r="DL95" s="384">
        <v>57</v>
      </c>
      <c r="DM95" s="384">
        <v>57</v>
      </c>
      <c r="DN95" s="384">
        <v>57</v>
      </c>
      <c r="DO95" s="384">
        <v>64</v>
      </c>
      <c r="DP95" s="384">
        <v>68</v>
      </c>
      <c r="DQ95" s="384">
        <v>71</v>
      </c>
      <c r="DR95" s="384">
        <v>75</v>
      </c>
      <c r="DS95" s="384">
        <v>92</v>
      </c>
      <c r="DT95" s="384">
        <v>92</v>
      </c>
    </row>
    <row r="96" spans="1:124" x14ac:dyDescent="0.15">
      <c r="A96" s="380">
        <v>13</v>
      </c>
      <c r="B96" s="384">
        <v>51</v>
      </c>
      <c r="C96" s="384">
        <v>51</v>
      </c>
      <c r="D96" s="384">
        <v>51</v>
      </c>
      <c r="E96" s="384">
        <v>51</v>
      </c>
      <c r="F96" s="384">
        <v>51</v>
      </c>
      <c r="G96" s="384">
        <v>54</v>
      </c>
      <c r="H96" s="384">
        <v>57</v>
      </c>
      <c r="I96" s="384">
        <v>60</v>
      </c>
      <c r="J96" s="384">
        <v>64</v>
      </c>
      <c r="K96" s="384">
        <v>83</v>
      </c>
      <c r="L96" s="384">
        <v>83</v>
      </c>
      <c r="AC96" s="380">
        <v>13</v>
      </c>
      <c r="AD96" s="384">
        <v>51</v>
      </c>
      <c r="AE96" s="384">
        <v>51</v>
      </c>
      <c r="AF96" s="384">
        <v>51</v>
      </c>
      <c r="AG96" s="384">
        <v>51</v>
      </c>
      <c r="AH96" s="384">
        <v>51</v>
      </c>
      <c r="AI96" s="384">
        <v>54</v>
      </c>
      <c r="AJ96" s="384">
        <v>57</v>
      </c>
      <c r="AK96" s="384">
        <v>60</v>
      </c>
      <c r="AL96" s="384">
        <v>68</v>
      </c>
      <c r="AM96" s="384">
        <v>82</v>
      </c>
      <c r="AN96" s="384">
        <v>82</v>
      </c>
      <c r="BE96" s="380">
        <v>13</v>
      </c>
      <c r="BF96" s="384">
        <v>51</v>
      </c>
      <c r="BG96" s="384">
        <v>51</v>
      </c>
      <c r="BH96" s="384">
        <v>51</v>
      </c>
      <c r="BI96" s="384">
        <v>51</v>
      </c>
      <c r="BJ96" s="384">
        <v>51</v>
      </c>
      <c r="BK96" s="384">
        <v>54</v>
      </c>
      <c r="BL96" s="384">
        <v>57</v>
      </c>
      <c r="BM96" s="384">
        <v>60</v>
      </c>
      <c r="BN96" s="384">
        <v>68</v>
      </c>
      <c r="BO96" s="384">
        <v>85</v>
      </c>
      <c r="BP96" s="384">
        <v>85</v>
      </c>
      <c r="CG96" s="390">
        <v>13</v>
      </c>
      <c r="CH96" s="391">
        <v>54</v>
      </c>
      <c r="CI96" s="391">
        <v>54</v>
      </c>
      <c r="CJ96" s="391">
        <v>54</v>
      </c>
      <c r="CK96" s="391">
        <v>54</v>
      </c>
      <c r="CL96" s="391">
        <v>54</v>
      </c>
      <c r="CM96" s="391">
        <v>60</v>
      </c>
      <c r="CN96" s="391">
        <v>60</v>
      </c>
      <c r="CO96" s="391">
        <v>64</v>
      </c>
      <c r="CP96" s="391">
        <v>71</v>
      </c>
      <c r="CQ96" s="391">
        <v>88</v>
      </c>
      <c r="CR96" s="391">
        <v>88</v>
      </c>
      <c r="DI96" s="380">
        <v>13</v>
      </c>
      <c r="DJ96" s="384">
        <v>57</v>
      </c>
      <c r="DK96" s="384">
        <v>57</v>
      </c>
      <c r="DL96" s="384">
        <v>57</v>
      </c>
      <c r="DM96" s="384">
        <v>57</v>
      </c>
      <c r="DN96" s="384">
        <v>57</v>
      </c>
      <c r="DO96" s="384">
        <v>64</v>
      </c>
      <c r="DP96" s="384">
        <v>68</v>
      </c>
      <c r="DQ96" s="384">
        <v>71</v>
      </c>
      <c r="DR96" s="384">
        <v>75</v>
      </c>
      <c r="DS96" s="384">
        <v>92</v>
      </c>
      <c r="DT96" s="384">
        <v>92</v>
      </c>
    </row>
    <row r="97" spans="1:124" x14ac:dyDescent="0.15">
      <c r="A97" s="380">
        <v>14</v>
      </c>
      <c r="B97" s="384">
        <v>54</v>
      </c>
      <c r="C97" s="384">
        <v>54</v>
      </c>
      <c r="D97" s="384">
        <v>54</v>
      </c>
      <c r="E97" s="384">
        <v>54</v>
      </c>
      <c r="F97" s="384">
        <v>54</v>
      </c>
      <c r="G97" s="384">
        <v>57</v>
      </c>
      <c r="H97" s="384">
        <v>60</v>
      </c>
      <c r="I97" s="384">
        <v>64</v>
      </c>
      <c r="J97" s="384">
        <v>68</v>
      </c>
      <c r="K97" s="384">
        <v>85</v>
      </c>
      <c r="L97" s="384">
        <v>85</v>
      </c>
      <c r="AC97" s="380">
        <v>14</v>
      </c>
      <c r="AD97" s="384">
        <v>54</v>
      </c>
      <c r="AE97" s="384">
        <v>54</v>
      </c>
      <c r="AF97" s="384">
        <v>54</v>
      </c>
      <c r="AG97" s="384">
        <v>54</v>
      </c>
      <c r="AH97" s="384">
        <v>54</v>
      </c>
      <c r="AI97" s="384">
        <v>57</v>
      </c>
      <c r="AJ97" s="384">
        <v>60</v>
      </c>
      <c r="AK97" s="384">
        <v>64</v>
      </c>
      <c r="AL97" s="384">
        <v>71</v>
      </c>
      <c r="AM97" s="384">
        <v>84</v>
      </c>
      <c r="AN97" s="384">
        <v>84</v>
      </c>
      <c r="BE97" s="380">
        <v>14</v>
      </c>
      <c r="BF97" s="384">
        <v>54</v>
      </c>
      <c r="BG97" s="384">
        <v>54</v>
      </c>
      <c r="BH97" s="384">
        <v>54</v>
      </c>
      <c r="BI97" s="384">
        <v>54</v>
      </c>
      <c r="BJ97" s="384">
        <v>54</v>
      </c>
      <c r="BK97" s="384">
        <v>57</v>
      </c>
      <c r="BL97" s="384">
        <v>60</v>
      </c>
      <c r="BM97" s="384">
        <v>64</v>
      </c>
      <c r="BN97" s="384">
        <v>71</v>
      </c>
      <c r="BO97" s="384">
        <v>87</v>
      </c>
      <c r="BP97" s="384">
        <v>87</v>
      </c>
      <c r="CG97" s="390">
        <v>14</v>
      </c>
      <c r="CH97" s="391">
        <v>57</v>
      </c>
      <c r="CI97" s="391">
        <v>57</v>
      </c>
      <c r="CJ97" s="391">
        <v>57</v>
      </c>
      <c r="CK97" s="391">
        <v>57</v>
      </c>
      <c r="CL97" s="391">
        <v>57</v>
      </c>
      <c r="CM97" s="391">
        <v>64</v>
      </c>
      <c r="CN97" s="391">
        <v>64</v>
      </c>
      <c r="CO97" s="391">
        <v>68</v>
      </c>
      <c r="CP97" s="391">
        <v>75</v>
      </c>
      <c r="CQ97" s="391">
        <v>90</v>
      </c>
      <c r="CR97" s="391">
        <v>90</v>
      </c>
      <c r="DI97" s="380">
        <v>14</v>
      </c>
      <c r="DJ97" s="384">
        <v>60</v>
      </c>
      <c r="DK97" s="384">
        <v>60</v>
      </c>
      <c r="DL97" s="384">
        <v>60</v>
      </c>
      <c r="DM97" s="384">
        <v>60</v>
      </c>
      <c r="DN97" s="384">
        <v>60</v>
      </c>
      <c r="DO97" s="384">
        <v>68</v>
      </c>
      <c r="DP97" s="384">
        <v>71</v>
      </c>
      <c r="DQ97" s="384">
        <v>75</v>
      </c>
      <c r="DR97" s="384">
        <v>79</v>
      </c>
      <c r="DS97" s="384">
        <v>95</v>
      </c>
      <c r="DT97" s="384">
        <v>95</v>
      </c>
    </row>
    <row r="98" spans="1:124" x14ac:dyDescent="0.15">
      <c r="A98" s="380">
        <v>15</v>
      </c>
      <c r="B98" s="395">
        <v>57</v>
      </c>
      <c r="C98" s="395">
        <v>57</v>
      </c>
      <c r="D98" s="395">
        <v>57</v>
      </c>
      <c r="E98" s="395">
        <v>57</v>
      </c>
      <c r="F98" s="395">
        <v>57</v>
      </c>
      <c r="G98" s="395">
        <v>60</v>
      </c>
      <c r="H98" s="395">
        <v>64</v>
      </c>
      <c r="I98" s="395">
        <v>68</v>
      </c>
      <c r="J98" s="384">
        <v>71</v>
      </c>
      <c r="K98" s="384">
        <v>88</v>
      </c>
      <c r="L98" s="384">
        <v>88</v>
      </c>
      <c r="AC98" s="380">
        <v>15</v>
      </c>
      <c r="AD98" s="384">
        <v>57</v>
      </c>
      <c r="AE98" s="384">
        <v>57</v>
      </c>
      <c r="AF98" s="384">
        <v>57</v>
      </c>
      <c r="AG98" s="384">
        <v>57</v>
      </c>
      <c r="AH98" s="384">
        <v>57</v>
      </c>
      <c r="AI98" s="384">
        <v>60</v>
      </c>
      <c r="AJ98" s="384">
        <v>64</v>
      </c>
      <c r="AK98" s="384">
        <v>68</v>
      </c>
      <c r="AL98" s="384">
        <v>75</v>
      </c>
      <c r="AM98" s="384">
        <v>87</v>
      </c>
      <c r="AN98" s="384">
        <v>87</v>
      </c>
      <c r="BE98" s="380">
        <v>15</v>
      </c>
      <c r="BF98" s="384">
        <v>57</v>
      </c>
      <c r="BG98" s="384">
        <v>57</v>
      </c>
      <c r="BH98" s="384">
        <v>57</v>
      </c>
      <c r="BI98" s="384">
        <v>57</v>
      </c>
      <c r="BJ98" s="384">
        <v>57</v>
      </c>
      <c r="BK98" s="384">
        <v>60</v>
      </c>
      <c r="BL98" s="384">
        <v>64</v>
      </c>
      <c r="BM98" s="384">
        <v>68</v>
      </c>
      <c r="BN98" s="384">
        <v>75</v>
      </c>
      <c r="BO98" s="384">
        <v>90</v>
      </c>
      <c r="BP98" s="384">
        <v>90</v>
      </c>
      <c r="CG98" s="380">
        <v>15</v>
      </c>
      <c r="CH98" s="391">
        <v>60</v>
      </c>
      <c r="CI98" s="391">
        <v>60</v>
      </c>
      <c r="CJ98" s="391">
        <v>60</v>
      </c>
      <c r="CK98" s="391">
        <v>60</v>
      </c>
      <c r="CL98" s="391">
        <v>60</v>
      </c>
      <c r="CM98" s="391">
        <v>68</v>
      </c>
      <c r="CN98" s="391">
        <v>68</v>
      </c>
      <c r="CO98" s="384">
        <v>71</v>
      </c>
      <c r="CP98" s="384">
        <v>79</v>
      </c>
      <c r="CQ98" s="384">
        <v>92</v>
      </c>
      <c r="CR98" s="384">
        <v>92</v>
      </c>
      <c r="DI98" s="380">
        <v>15</v>
      </c>
      <c r="DJ98" s="384">
        <v>64</v>
      </c>
      <c r="DK98" s="384">
        <v>64</v>
      </c>
      <c r="DL98" s="384">
        <v>64</v>
      </c>
      <c r="DM98" s="384">
        <v>64</v>
      </c>
      <c r="DN98" s="384">
        <v>64</v>
      </c>
      <c r="DO98" s="384">
        <v>71</v>
      </c>
      <c r="DP98" s="384">
        <v>75</v>
      </c>
      <c r="DQ98" s="384">
        <v>79</v>
      </c>
      <c r="DR98" s="384">
        <v>83</v>
      </c>
      <c r="DS98" s="384">
        <v>97</v>
      </c>
      <c r="DT98" s="384">
        <v>97</v>
      </c>
    </row>
    <row r="99" spans="1:124" x14ac:dyDescent="0.15">
      <c r="A99" s="380">
        <v>16</v>
      </c>
      <c r="B99" s="384">
        <v>60</v>
      </c>
      <c r="C99" s="384">
        <v>60</v>
      </c>
      <c r="D99" s="384">
        <v>60</v>
      </c>
      <c r="E99" s="384">
        <v>60</v>
      </c>
      <c r="F99" s="384">
        <v>60</v>
      </c>
      <c r="G99" s="384">
        <v>64</v>
      </c>
      <c r="H99" s="384">
        <v>68</v>
      </c>
      <c r="I99" s="384">
        <v>71</v>
      </c>
      <c r="J99" s="384">
        <v>75</v>
      </c>
      <c r="K99" s="384">
        <v>91</v>
      </c>
      <c r="L99" s="384">
        <v>91</v>
      </c>
      <c r="AC99" s="380">
        <v>16</v>
      </c>
      <c r="AD99" s="384">
        <v>60</v>
      </c>
      <c r="AE99" s="384">
        <v>60</v>
      </c>
      <c r="AF99" s="384">
        <v>60</v>
      </c>
      <c r="AG99" s="384">
        <v>60</v>
      </c>
      <c r="AH99" s="384">
        <v>60</v>
      </c>
      <c r="AI99" s="384">
        <v>64</v>
      </c>
      <c r="AJ99" s="384">
        <v>68</v>
      </c>
      <c r="AK99" s="384">
        <v>71</v>
      </c>
      <c r="AL99" s="384">
        <v>79</v>
      </c>
      <c r="AM99" s="384">
        <v>90</v>
      </c>
      <c r="AN99" s="384">
        <v>90</v>
      </c>
      <c r="BE99" s="380">
        <v>16</v>
      </c>
      <c r="BF99" s="384">
        <v>60</v>
      </c>
      <c r="BG99" s="384">
        <v>60</v>
      </c>
      <c r="BH99" s="384">
        <v>60</v>
      </c>
      <c r="BI99" s="384">
        <v>60</v>
      </c>
      <c r="BJ99" s="384">
        <v>60</v>
      </c>
      <c r="BK99" s="384">
        <v>64</v>
      </c>
      <c r="BL99" s="384">
        <v>68</v>
      </c>
      <c r="BM99" s="384">
        <v>71</v>
      </c>
      <c r="BN99" s="384">
        <v>79</v>
      </c>
      <c r="BO99" s="384">
        <v>92</v>
      </c>
      <c r="BP99" s="384">
        <v>92</v>
      </c>
      <c r="CG99" s="390">
        <v>16</v>
      </c>
      <c r="CH99" s="391">
        <v>60</v>
      </c>
      <c r="CI99" s="391">
        <v>60</v>
      </c>
      <c r="CJ99" s="391">
        <v>60</v>
      </c>
      <c r="CK99" s="391">
        <v>60</v>
      </c>
      <c r="CL99" s="391">
        <v>60</v>
      </c>
      <c r="CM99" s="391">
        <v>68</v>
      </c>
      <c r="CN99" s="391">
        <v>68</v>
      </c>
      <c r="CO99" s="384">
        <v>71</v>
      </c>
      <c r="CP99" s="384">
        <v>79</v>
      </c>
      <c r="CQ99" s="384">
        <v>92</v>
      </c>
      <c r="CR99" s="384">
        <v>92</v>
      </c>
      <c r="DI99" s="380">
        <v>16</v>
      </c>
      <c r="DJ99" s="384">
        <v>68</v>
      </c>
      <c r="DK99" s="384">
        <v>68</v>
      </c>
      <c r="DL99" s="384">
        <v>68</v>
      </c>
      <c r="DM99" s="384">
        <v>68</v>
      </c>
      <c r="DN99" s="384">
        <v>68</v>
      </c>
      <c r="DO99" s="384">
        <v>75</v>
      </c>
      <c r="DP99" s="384">
        <v>79</v>
      </c>
      <c r="DQ99" s="384">
        <v>83</v>
      </c>
      <c r="DR99" s="384">
        <v>87</v>
      </c>
      <c r="DS99" s="384">
        <v>99</v>
      </c>
      <c r="DT99" s="384">
        <v>99</v>
      </c>
    </row>
    <row r="100" spans="1:124" x14ac:dyDescent="0.15">
      <c r="A100" s="380">
        <v>17</v>
      </c>
      <c r="B100" s="384">
        <v>60</v>
      </c>
      <c r="C100" s="384">
        <v>60</v>
      </c>
      <c r="D100" s="384">
        <v>60</v>
      </c>
      <c r="E100" s="384">
        <v>60</v>
      </c>
      <c r="F100" s="384">
        <v>60</v>
      </c>
      <c r="G100" s="384">
        <v>64</v>
      </c>
      <c r="H100" s="384">
        <v>68</v>
      </c>
      <c r="I100" s="384">
        <v>71</v>
      </c>
      <c r="J100" s="384">
        <v>75</v>
      </c>
      <c r="K100" s="384">
        <v>91</v>
      </c>
      <c r="L100" s="384">
        <v>91</v>
      </c>
      <c r="AC100" s="380">
        <v>17</v>
      </c>
      <c r="AD100" s="384">
        <v>60</v>
      </c>
      <c r="AE100" s="384">
        <v>60</v>
      </c>
      <c r="AF100" s="384">
        <v>60</v>
      </c>
      <c r="AG100" s="384">
        <v>60</v>
      </c>
      <c r="AH100" s="384">
        <v>60</v>
      </c>
      <c r="AI100" s="384">
        <v>64</v>
      </c>
      <c r="AJ100" s="384">
        <v>68</v>
      </c>
      <c r="AK100" s="384">
        <v>71</v>
      </c>
      <c r="AL100" s="384">
        <v>79</v>
      </c>
      <c r="AM100" s="384">
        <v>90</v>
      </c>
      <c r="AN100" s="384">
        <v>90</v>
      </c>
      <c r="BE100" s="380">
        <v>17</v>
      </c>
      <c r="BF100" s="384">
        <v>60</v>
      </c>
      <c r="BG100" s="384">
        <v>60</v>
      </c>
      <c r="BH100" s="384">
        <v>60</v>
      </c>
      <c r="BI100" s="384">
        <v>60</v>
      </c>
      <c r="BJ100" s="384">
        <v>60</v>
      </c>
      <c r="BK100" s="384">
        <v>64</v>
      </c>
      <c r="BL100" s="384">
        <v>68</v>
      </c>
      <c r="BM100" s="384">
        <v>71</v>
      </c>
      <c r="BN100" s="384">
        <v>79</v>
      </c>
      <c r="BO100" s="384">
        <v>92</v>
      </c>
      <c r="BP100" s="384">
        <v>92</v>
      </c>
      <c r="CG100" s="390">
        <v>17</v>
      </c>
      <c r="CH100" s="391">
        <v>64</v>
      </c>
      <c r="CI100" s="391">
        <v>64</v>
      </c>
      <c r="CJ100" s="391">
        <v>64</v>
      </c>
      <c r="CK100" s="391">
        <v>64</v>
      </c>
      <c r="CL100" s="391">
        <v>64</v>
      </c>
      <c r="CM100" s="391">
        <v>71</v>
      </c>
      <c r="CN100" s="391">
        <v>71</v>
      </c>
      <c r="CO100" s="391">
        <v>75</v>
      </c>
      <c r="CP100" s="391">
        <v>83</v>
      </c>
      <c r="CQ100" s="391">
        <v>96</v>
      </c>
      <c r="CR100" s="391">
        <v>96</v>
      </c>
      <c r="DI100" s="380">
        <v>17</v>
      </c>
      <c r="DJ100" s="384">
        <v>71</v>
      </c>
      <c r="DK100" s="384">
        <v>71</v>
      </c>
      <c r="DL100" s="384">
        <v>71</v>
      </c>
      <c r="DM100" s="384">
        <v>71</v>
      </c>
      <c r="DN100" s="384">
        <v>71</v>
      </c>
      <c r="DO100" s="384">
        <v>79</v>
      </c>
      <c r="DP100" s="384">
        <v>83</v>
      </c>
      <c r="DQ100" s="384">
        <v>87</v>
      </c>
      <c r="DR100" s="384">
        <v>90</v>
      </c>
      <c r="DS100" s="384">
        <v>103</v>
      </c>
      <c r="DT100" s="384">
        <v>103</v>
      </c>
    </row>
    <row r="101" spans="1:124" x14ac:dyDescent="0.15">
      <c r="A101" s="380">
        <v>18</v>
      </c>
      <c r="B101" s="384">
        <v>64</v>
      </c>
      <c r="C101" s="384">
        <v>64</v>
      </c>
      <c r="D101" s="384">
        <v>64</v>
      </c>
      <c r="E101" s="384">
        <v>64</v>
      </c>
      <c r="F101" s="384">
        <v>64</v>
      </c>
      <c r="G101" s="384">
        <v>68</v>
      </c>
      <c r="H101" s="384">
        <v>71</v>
      </c>
      <c r="I101" s="384">
        <v>75</v>
      </c>
      <c r="J101" s="384">
        <v>79</v>
      </c>
      <c r="K101" s="384">
        <v>95</v>
      </c>
      <c r="L101" s="384">
        <v>95</v>
      </c>
      <c r="AC101" s="380">
        <v>18</v>
      </c>
      <c r="AD101" s="384">
        <v>64</v>
      </c>
      <c r="AE101" s="384">
        <v>64</v>
      </c>
      <c r="AF101" s="384">
        <v>64</v>
      </c>
      <c r="AG101" s="384">
        <v>64</v>
      </c>
      <c r="AH101" s="384">
        <v>64</v>
      </c>
      <c r="AI101" s="384">
        <v>68</v>
      </c>
      <c r="AJ101" s="384">
        <v>71</v>
      </c>
      <c r="AK101" s="384">
        <v>75</v>
      </c>
      <c r="AL101" s="384">
        <v>83</v>
      </c>
      <c r="AM101" s="384">
        <v>94</v>
      </c>
      <c r="AN101" s="384">
        <v>94</v>
      </c>
      <c r="BE101" s="380">
        <v>18</v>
      </c>
      <c r="BF101" s="384">
        <v>64</v>
      </c>
      <c r="BG101" s="384">
        <v>64</v>
      </c>
      <c r="BH101" s="384">
        <v>64</v>
      </c>
      <c r="BI101" s="384">
        <v>64</v>
      </c>
      <c r="BJ101" s="384">
        <v>64</v>
      </c>
      <c r="BK101" s="384">
        <v>68</v>
      </c>
      <c r="BL101" s="384">
        <v>71</v>
      </c>
      <c r="BM101" s="384">
        <v>75</v>
      </c>
      <c r="BN101" s="384">
        <v>83</v>
      </c>
      <c r="BO101" s="384">
        <v>96</v>
      </c>
      <c r="BP101" s="384">
        <v>96</v>
      </c>
      <c r="CG101" s="390">
        <v>18</v>
      </c>
      <c r="CH101" s="391">
        <v>64</v>
      </c>
      <c r="CI101" s="391">
        <v>64</v>
      </c>
      <c r="CJ101" s="391">
        <v>64</v>
      </c>
      <c r="CK101" s="391">
        <v>64</v>
      </c>
      <c r="CL101" s="391">
        <v>64</v>
      </c>
      <c r="CM101" s="391">
        <v>71</v>
      </c>
      <c r="CN101" s="391">
        <v>71</v>
      </c>
      <c r="CO101" s="391">
        <v>75</v>
      </c>
      <c r="CP101" s="391">
        <v>83</v>
      </c>
      <c r="CQ101" s="391">
        <v>96</v>
      </c>
      <c r="CR101" s="391">
        <v>96</v>
      </c>
      <c r="DI101" s="380">
        <v>18</v>
      </c>
      <c r="DJ101" s="384">
        <v>71</v>
      </c>
      <c r="DK101" s="384">
        <v>71</v>
      </c>
      <c r="DL101" s="384">
        <v>71</v>
      </c>
      <c r="DM101" s="384">
        <v>71</v>
      </c>
      <c r="DN101" s="384">
        <v>71</v>
      </c>
      <c r="DO101" s="384">
        <v>79</v>
      </c>
      <c r="DP101" s="384">
        <v>83</v>
      </c>
      <c r="DQ101" s="384">
        <v>87</v>
      </c>
      <c r="DR101" s="384">
        <v>90</v>
      </c>
      <c r="DS101" s="384">
        <v>103</v>
      </c>
      <c r="DT101" s="384">
        <v>103</v>
      </c>
    </row>
    <row r="102" spans="1:124" x14ac:dyDescent="0.15">
      <c r="A102" s="380">
        <v>19</v>
      </c>
      <c r="B102" s="384">
        <v>64</v>
      </c>
      <c r="C102" s="384">
        <v>64</v>
      </c>
      <c r="D102" s="384">
        <v>64</v>
      </c>
      <c r="E102" s="384">
        <v>64</v>
      </c>
      <c r="F102" s="384">
        <v>64</v>
      </c>
      <c r="G102" s="384">
        <v>68</v>
      </c>
      <c r="H102" s="384">
        <v>71</v>
      </c>
      <c r="I102" s="384">
        <v>75</v>
      </c>
      <c r="J102" s="384">
        <v>79</v>
      </c>
      <c r="K102" s="384">
        <v>95</v>
      </c>
      <c r="L102" s="384">
        <v>95</v>
      </c>
      <c r="AC102" s="380">
        <v>19</v>
      </c>
      <c r="AD102" s="384">
        <v>64</v>
      </c>
      <c r="AE102" s="384">
        <v>64</v>
      </c>
      <c r="AF102" s="384">
        <v>64</v>
      </c>
      <c r="AG102" s="384">
        <v>64</v>
      </c>
      <c r="AH102" s="384">
        <v>64</v>
      </c>
      <c r="AI102" s="384">
        <v>68</v>
      </c>
      <c r="AJ102" s="384">
        <v>71</v>
      </c>
      <c r="AK102" s="384">
        <v>75</v>
      </c>
      <c r="AL102" s="384">
        <v>83</v>
      </c>
      <c r="AM102" s="384">
        <v>94</v>
      </c>
      <c r="AN102" s="384">
        <v>94</v>
      </c>
      <c r="BE102" s="380">
        <v>19</v>
      </c>
      <c r="BF102" s="384">
        <v>64</v>
      </c>
      <c r="BG102" s="384">
        <v>64</v>
      </c>
      <c r="BH102" s="384">
        <v>64</v>
      </c>
      <c r="BI102" s="384">
        <v>64</v>
      </c>
      <c r="BJ102" s="384">
        <v>64</v>
      </c>
      <c r="BK102" s="384">
        <v>68</v>
      </c>
      <c r="BL102" s="384">
        <v>71</v>
      </c>
      <c r="BM102" s="384">
        <v>75</v>
      </c>
      <c r="BN102" s="384">
        <v>83</v>
      </c>
      <c r="BO102" s="384">
        <v>96</v>
      </c>
      <c r="BP102" s="384">
        <v>96</v>
      </c>
      <c r="CG102" s="390">
        <v>19</v>
      </c>
      <c r="CH102" s="391">
        <v>68</v>
      </c>
      <c r="CI102" s="391">
        <v>68</v>
      </c>
      <c r="CJ102" s="391">
        <v>68</v>
      </c>
      <c r="CK102" s="391">
        <v>68</v>
      </c>
      <c r="CL102" s="391">
        <v>68</v>
      </c>
      <c r="CM102" s="391">
        <v>75</v>
      </c>
      <c r="CN102" s="391">
        <v>75</v>
      </c>
      <c r="CO102" s="391">
        <v>79</v>
      </c>
      <c r="CP102" s="391">
        <v>87</v>
      </c>
      <c r="CQ102" s="391">
        <v>99</v>
      </c>
      <c r="CR102" s="391">
        <v>99</v>
      </c>
      <c r="DI102" s="380">
        <v>19</v>
      </c>
      <c r="DJ102" s="384">
        <v>75</v>
      </c>
      <c r="DK102" s="384">
        <v>75</v>
      </c>
      <c r="DL102" s="384">
        <v>75</v>
      </c>
      <c r="DM102" s="384">
        <v>75</v>
      </c>
      <c r="DN102" s="384">
        <v>75</v>
      </c>
      <c r="DO102" s="384">
        <v>83</v>
      </c>
      <c r="DP102" s="384">
        <v>87</v>
      </c>
      <c r="DQ102" s="384">
        <v>90</v>
      </c>
      <c r="DR102" s="384">
        <v>92</v>
      </c>
      <c r="DS102" s="384">
        <v>107</v>
      </c>
      <c r="DT102" s="384">
        <v>107</v>
      </c>
    </row>
    <row r="103" spans="1:124" x14ac:dyDescent="0.15">
      <c r="A103" s="380">
        <v>20</v>
      </c>
      <c r="B103" s="384">
        <v>68</v>
      </c>
      <c r="C103" s="384">
        <v>68</v>
      </c>
      <c r="D103" s="384">
        <v>68</v>
      </c>
      <c r="E103" s="384">
        <v>68</v>
      </c>
      <c r="F103" s="384">
        <v>68</v>
      </c>
      <c r="G103" s="384">
        <v>71</v>
      </c>
      <c r="H103" s="384">
        <v>75</v>
      </c>
      <c r="I103" s="384">
        <v>79</v>
      </c>
      <c r="J103" s="384">
        <v>83</v>
      </c>
      <c r="K103" s="384">
        <v>97</v>
      </c>
      <c r="L103" s="384">
        <v>97</v>
      </c>
      <c r="AC103" s="380">
        <v>20</v>
      </c>
      <c r="AD103" s="384">
        <v>68</v>
      </c>
      <c r="AE103" s="384">
        <v>68</v>
      </c>
      <c r="AF103" s="384">
        <v>68</v>
      </c>
      <c r="AG103" s="384">
        <v>68</v>
      </c>
      <c r="AH103" s="384">
        <v>68</v>
      </c>
      <c r="AI103" s="384">
        <v>71</v>
      </c>
      <c r="AJ103" s="384">
        <v>75</v>
      </c>
      <c r="AK103" s="384">
        <v>79</v>
      </c>
      <c r="AL103" s="384">
        <v>87</v>
      </c>
      <c r="AM103" s="384">
        <v>97</v>
      </c>
      <c r="AN103" s="384">
        <v>97</v>
      </c>
      <c r="BE103" s="380">
        <v>20</v>
      </c>
      <c r="BF103" s="384">
        <v>68</v>
      </c>
      <c r="BG103" s="384">
        <v>68</v>
      </c>
      <c r="BH103" s="384">
        <v>68</v>
      </c>
      <c r="BI103" s="384">
        <v>68</v>
      </c>
      <c r="BJ103" s="384">
        <v>68</v>
      </c>
      <c r="BK103" s="384">
        <v>71</v>
      </c>
      <c r="BL103" s="384">
        <v>75</v>
      </c>
      <c r="BM103" s="384">
        <v>79</v>
      </c>
      <c r="BN103" s="384">
        <v>87</v>
      </c>
      <c r="BO103" s="384">
        <v>98</v>
      </c>
      <c r="BP103" s="384">
        <v>98</v>
      </c>
      <c r="CG103" s="390">
        <v>20</v>
      </c>
      <c r="CH103" s="391">
        <v>71</v>
      </c>
      <c r="CI103" s="391">
        <v>71</v>
      </c>
      <c r="CJ103" s="391">
        <v>71</v>
      </c>
      <c r="CK103" s="391">
        <v>71</v>
      </c>
      <c r="CL103" s="391">
        <v>71</v>
      </c>
      <c r="CM103" s="391">
        <v>79</v>
      </c>
      <c r="CN103" s="391">
        <v>79</v>
      </c>
      <c r="CO103" s="391">
        <v>83</v>
      </c>
      <c r="CP103" s="391">
        <v>90</v>
      </c>
      <c r="CQ103" s="391">
        <v>101</v>
      </c>
      <c r="CR103" s="391">
        <v>101</v>
      </c>
      <c r="DI103" s="380">
        <v>20</v>
      </c>
      <c r="DJ103" s="384">
        <v>79</v>
      </c>
      <c r="DK103" s="384">
        <v>79</v>
      </c>
      <c r="DL103" s="384">
        <v>79</v>
      </c>
      <c r="DM103" s="384">
        <v>79</v>
      </c>
      <c r="DN103" s="384">
        <v>79</v>
      </c>
      <c r="DO103" s="384">
        <v>87</v>
      </c>
      <c r="DP103" s="384">
        <v>90</v>
      </c>
      <c r="DQ103" s="384">
        <v>92</v>
      </c>
      <c r="DR103" s="384">
        <v>94</v>
      </c>
      <c r="DS103" s="384">
        <v>110</v>
      </c>
      <c r="DT103" s="384">
        <v>110</v>
      </c>
    </row>
    <row r="104" spans="1:124" x14ac:dyDescent="0.15">
      <c r="A104" s="381">
        <v>21</v>
      </c>
      <c r="B104" s="384">
        <v>71</v>
      </c>
      <c r="C104" s="384">
        <v>71</v>
      </c>
      <c r="D104" s="384">
        <v>71</v>
      </c>
      <c r="E104" s="384">
        <v>71</v>
      </c>
      <c r="F104" s="384">
        <v>71</v>
      </c>
      <c r="G104" s="384">
        <v>75</v>
      </c>
      <c r="H104" s="384">
        <v>79</v>
      </c>
      <c r="I104" s="384">
        <v>83</v>
      </c>
      <c r="J104" s="384">
        <v>87</v>
      </c>
      <c r="K104" s="384">
        <v>100</v>
      </c>
      <c r="L104" s="384">
        <v>100</v>
      </c>
      <c r="AC104" s="380">
        <v>21</v>
      </c>
      <c r="AD104" s="384">
        <v>71</v>
      </c>
      <c r="AE104" s="384">
        <v>71</v>
      </c>
      <c r="AF104" s="384">
        <v>71</v>
      </c>
      <c r="AG104" s="384">
        <v>71</v>
      </c>
      <c r="AH104" s="384">
        <v>71</v>
      </c>
      <c r="AI104" s="384">
        <v>75</v>
      </c>
      <c r="AJ104" s="384">
        <v>79</v>
      </c>
      <c r="AK104" s="384">
        <v>83</v>
      </c>
      <c r="AL104" s="384">
        <v>90</v>
      </c>
      <c r="AM104" s="384">
        <v>99</v>
      </c>
      <c r="AN104" s="384">
        <v>99</v>
      </c>
      <c r="BE104" s="380">
        <v>21</v>
      </c>
      <c r="BF104" s="384">
        <v>71</v>
      </c>
      <c r="BG104" s="384">
        <v>71</v>
      </c>
      <c r="BH104" s="384">
        <v>71</v>
      </c>
      <c r="BI104" s="384">
        <v>71</v>
      </c>
      <c r="BJ104" s="384">
        <v>71</v>
      </c>
      <c r="BK104" s="384">
        <v>75</v>
      </c>
      <c r="BL104" s="384">
        <v>79</v>
      </c>
      <c r="BM104" s="384">
        <v>83</v>
      </c>
      <c r="BN104" s="384">
        <v>90</v>
      </c>
      <c r="BO104" s="384">
        <v>101</v>
      </c>
      <c r="BP104" s="384">
        <v>101</v>
      </c>
      <c r="CG104" s="390">
        <v>21</v>
      </c>
      <c r="CH104" s="391">
        <v>75</v>
      </c>
      <c r="CI104" s="391">
        <v>75</v>
      </c>
      <c r="CJ104" s="391">
        <v>75</v>
      </c>
      <c r="CK104" s="391">
        <v>75</v>
      </c>
      <c r="CL104" s="391">
        <v>75</v>
      </c>
      <c r="CM104" s="391">
        <v>83</v>
      </c>
      <c r="CN104" s="391">
        <v>83</v>
      </c>
      <c r="CO104" s="391">
        <v>87</v>
      </c>
      <c r="CP104" s="391">
        <v>92</v>
      </c>
      <c r="CQ104" s="391">
        <v>105</v>
      </c>
      <c r="CR104" s="391">
        <v>105</v>
      </c>
      <c r="DI104" s="380">
        <v>21</v>
      </c>
      <c r="DJ104" s="384">
        <v>83</v>
      </c>
      <c r="DK104" s="384">
        <v>83</v>
      </c>
      <c r="DL104" s="384">
        <v>83</v>
      </c>
      <c r="DM104" s="384">
        <v>83</v>
      </c>
      <c r="DN104" s="384">
        <v>83</v>
      </c>
      <c r="DO104" s="384">
        <v>90</v>
      </c>
      <c r="DP104" s="384">
        <v>92</v>
      </c>
      <c r="DQ104" s="384">
        <v>94</v>
      </c>
      <c r="DR104" s="384">
        <v>96</v>
      </c>
      <c r="DS104" s="384">
        <v>113</v>
      </c>
      <c r="DT104" s="384">
        <v>113</v>
      </c>
    </row>
    <row r="105" spans="1:124" x14ac:dyDescent="0.15">
      <c r="A105" s="380">
        <v>22</v>
      </c>
      <c r="B105" s="384">
        <v>71</v>
      </c>
      <c r="C105" s="384">
        <v>71</v>
      </c>
      <c r="D105" s="384">
        <v>71</v>
      </c>
      <c r="E105" s="384">
        <v>71</v>
      </c>
      <c r="F105" s="384">
        <v>71</v>
      </c>
      <c r="G105" s="384">
        <v>75</v>
      </c>
      <c r="H105" s="384">
        <v>79</v>
      </c>
      <c r="I105" s="384">
        <v>83</v>
      </c>
      <c r="J105" s="384">
        <v>87</v>
      </c>
      <c r="K105" s="384">
        <v>100</v>
      </c>
      <c r="L105" s="384">
        <v>100</v>
      </c>
      <c r="AC105" s="380">
        <v>22</v>
      </c>
      <c r="AD105" s="384">
        <v>71</v>
      </c>
      <c r="AE105" s="384">
        <v>71</v>
      </c>
      <c r="AF105" s="384">
        <v>71</v>
      </c>
      <c r="AG105" s="384">
        <v>71</v>
      </c>
      <c r="AH105" s="384">
        <v>71</v>
      </c>
      <c r="AI105" s="384">
        <v>75</v>
      </c>
      <c r="AJ105" s="384">
        <v>79</v>
      </c>
      <c r="AK105" s="384">
        <v>83</v>
      </c>
      <c r="AL105" s="384">
        <v>90</v>
      </c>
      <c r="AM105" s="384">
        <v>99</v>
      </c>
      <c r="AN105" s="384">
        <v>99</v>
      </c>
      <c r="BE105" s="380">
        <v>22</v>
      </c>
      <c r="BF105" s="384">
        <v>71</v>
      </c>
      <c r="BG105" s="384">
        <v>71</v>
      </c>
      <c r="BH105" s="384">
        <v>71</v>
      </c>
      <c r="BI105" s="384">
        <v>71</v>
      </c>
      <c r="BJ105" s="384">
        <v>71</v>
      </c>
      <c r="BK105" s="384">
        <v>75</v>
      </c>
      <c r="BL105" s="384">
        <v>79</v>
      </c>
      <c r="BM105" s="384">
        <v>83</v>
      </c>
      <c r="BN105" s="384">
        <v>90</v>
      </c>
      <c r="BO105" s="384">
        <v>101</v>
      </c>
      <c r="BP105" s="384">
        <v>101</v>
      </c>
      <c r="CG105" s="390">
        <v>22</v>
      </c>
      <c r="CH105" s="391">
        <v>75</v>
      </c>
      <c r="CI105" s="391">
        <v>75</v>
      </c>
      <c r="CJ105" s="391">
        <v>75</v>
      </c>
      <c r="CK105" s="391">
        <v>75</v>
      </c>
      <c r="CL105" s="391">
        <v>75</v>
      </c>
      <c r="CM105" s="391">
        <v>83</v>
      </c>
      <c r="CN105" s="391">
        <v>83</v>
      </c>
      <c r="CO105" s="391">
        <v>87</v>
      </c>
      <c r="CP105" s="391">
        <v>92</v>
      </c>
      <c r="CQ105" s="391">
        <v>105</v>
      </c>
      <c r="CR105" s="391">
        <v>105</v>
      </c>
      <c r="DI105" s="380">
        <v>22</v>
      </c>
      <c r="DJ105" s="384">
        <v>87</v>
      </c>
      <c r="DK105" s="384">
        <v>87</v>
      </c>
      <c r="DL105" s="384">
        <v>87</v>
      </c>
      <c r="DM105" s="384">
        <v>87</v>
      </c>
      <c r="DN105" s="384">
        <v>87</v>
      </c>
      <c r="DO105" s="384">
        <v>92</v>
      </c>
      <c r="DP105" s="384">
        <v>94</v>
      </c>
      <c r="DQ105" s="384">
        <v>96</v>
      </c>
      <c r="DR105" s="384">
        <v>100</v>
      </c>
      <c r="DS105" s="384">
        <v>117</v>
      </c>
      <c r="DT105" s="384">
        <v>117</v>
      </c>
    </row>
    <row r="106" spans="1:124" x14ac:dyDescent="0.15">
      <c r="A106" s="380">
        <v>23</v>
      </c>
      <c r="B106" s="384">
        <v>75</v>
      </c>
      <c r="C106" s="384">
        <v>75</v>
      </c>
      <c r="D106" s="384">
        <v>75</v>
      </c>
      <c r="E106" s="384">
        <v>75</v>
      </c>
      <c r="F106" s="384">
        <v>75</v>
      </c>
      <c r="G106" s="384">
        <v>79</v>
      </c>
      <c r="H106" s="384">
        <v>83</v>
      </c>
      <c r="I106" s="384">
        <v>87</v>
      </c>
      <c r="J106" s="384">
        <v>90</v>
      </c>
      <c r="K106" s="384">
        <v>103</v>
      </c>
      <c r="L106" s="384">
        <v>103</v>
      </c>
      <c r="AC106" s="380">
        <v>23</v>
      </c>
      <c r="AD106" s="384">
        <v>75</v>
      </c>
      <c r="AE106" s="384">
        <v>75</v>
      </c>
      <c r="AF106" s="384">
        <v>75</v>
      </c>
      <c r="AG106" s="384">
        <v>75</v>
      </c>
      <c r="AH106" s="384">
        <v>75</v>
      </c>
      <c r="AI106" s="384">
        <v>79</v>
      </c>
      <c r="AJ106" s="384">
        <v>83</v>
      </c>
      <c r="AK106" s="384">
        <v>87</v>
      </c>
      <c r="AL106" s="384">
        <v>92</v>
      </c>
      <c r="AM106" s="384">
        <v>102</v>
      </c>
      <c r="AN106" s="384">
        <v>102</v>
      </c>
      <c r="BE106" s="380">
        <v>23</v>
      </c>
      <c r="BF106" s="384">
        <v>75</v>
      </c>
      <c r="BG106" s="384">
        <v>75</v>
      </c>
      <c r="BH106" s="384">
        <v>75</v>
      </c>
      <c r="BI106" s="384">
        <v>75</v>
      </c>
      <c r="BJ106" s="384">
        <v>75</v>
      </c>
      <c r="BK106" s="384">
        <v>79</v>
      </c>
      <c r="BL106" s="384">
        <v>83</v>
      </c>
      <c r="BM106" s="384">
        <v>87</v>
      </c>
      <c r="BN106" s="384">
        <v>92</v>
      </c>
      <c r="BO106" s="384">
        <v>104</v>
      </c>
      <c r="BP106" s="384">
        <v>104</v>
      </c>
      <c r="CG106" s="389">
        <v>23</v>
      </c>
      <c r="CH106" s="392">
        <v>79</v>
      </c>
      <c r="CI106" s="392">
        <v>79</v>
      </c>
      <c r="CJ106" s="392">
        <v>79</v>
      </c>
      <c r="CK106" s="392">
        <v>79</v>
      </c>
      <c r="CL106" s="392">
        <v>79</v>
      </c>
      <c r="CM106" s="392">
        <v>87</v>
      </c>
      <c r="CN106" s="392">
        <v>87</v>
      </c>
      <c r="CO106" s="392">
        <v>90</v>
      </c>
      <c r="CP106" s="392">
        <v>94</v>
      </c>
      <c r="CQ106" s="391">
        <v>108</v>
      </c>
      <c r="CR106" s="391">
        <v>108</v>
      </c>
      <c r="DI106" s="380">
        <v>23</v>
      </c>
      <c r="DJ106" s="384">
        <v>90</v>
      </c>
      <c r="DK106" s="384">
        <v>90</v>
      </c>
      <c r="DL106" s="384">
        <v>90</v>
      </c>
      <c r="DM106" s="384">
        <v>90</v>
      </c>
      <c r="DN106" s="384">
        <v>90</v>
      </c>
      <c r="DO106" s="384">
        <v>94</v>
      </c>
      <c r="DP106" s="384">
        <v>96</v>
      </c>
      <c r="DQ106" s="384">
        <v>100</v>
      </c>
      <c r="DR106" s="384">
        <v>102</v>
      </c>
      <c r="DS106" s="384">
        <v>122</v>
      </c>
      <c r="DT106" s="384">
        <v>122</v>
      </c>
    </row>
    <row r="107" spans="1:124" x14ac:dyDescent="0.15">
      <c r="A107" s="380">
        <v>24</v>
      </c>
      <c r="B107" s="384">
        <v>75</v>
      </c>
      <c r="C107" s="384">
        <v>75</v>
      </c>
      <c r="D107" s="384">
        <v>75</v>
      </c>
      <c r="E107" s="384">
        <v>75</v>
      </c>
      <c r="F107" s="384">
        <v>75</v>
      </c>
      <c r="G107" s="384">
        <v>79</v>
      </c>
      <c r="H107" s="384">
        <v>83</v>
      </c>
      <c r="I107" s="384">
        <v>87</v>
      </c>
      <c r="J107" s="384">
        <v>90</v>
      </c>
      <c r="K107" s="384">
        <v>103</v>
      </c>
      <c r="L107" s="384">
        <v>103</v>
      </c>
      <c r="AC107" s="380">
        <v>24</v>
      </c>
      <c r="AD107" s="384">
        <v>75</v>
      </c>
      <c r="AE107" s="384">
        <v>75</v>
      </c>
      <c r="AF107" s="384">
        <v>75</v>
      </c>
      <c r="AG107" s="384">
        <v>75</v>
      </c>
      <c r="AH107" s="384">
        <v>75</v>
      </c>
      <c r="AI107" s="384">
        <v>79</v>
      </c>
      <c r="AJ107" s="384">
        <v>83</v>
      </c>
      <c r="AK107" s="384">
        <v>87</v>
      </c>
      <c r="AL107" s="384">
        <v>92</v>
      </c>
      <c r="AM107" s="384">
        <v>102</v>
      </c>
      <c r="AN107" s="384">
        <v>102</v>
      </c>
      <c r="BE107" s="380">
        <v>24</v>
      </c>
      <c r="BF107" s="384">
        <v>75</v>
      </c>
      <c r="BG107" s="384">
        <v>75</v>
      </c>
      <c r="BH107" s="384">
        <v>75</v>
      </c>
      <c r="BI107" s="384">
        <v>75</v>
      </c>
      <c r="BJ107" s="384">
        <v>75</v>
      </c>
      <c r="BK107" s="384">
        <v>79</v>
      </c>
      <c r="BL107" s="384">
        <v>83</v>
      </c>
      <c r="BM107" s="384">
        <v>87</v>
      </c>
      <c r="BN107" s="384">
        <v>92</v>
      </c>
      <c r="BO107" s="384">
        <v>104</v>
      </c>
      <c r="BP107" s="384">
        <v>104</v>
      </c>
      <c r="CG107" s="390">
        <v>24</v>
      </c>
      <c r="CH107" s="391">
        <v>79</v>
      </c>
      <c r="CI107" s="391">
        <v>79</v>
      </c>
      <c r="CJ107" s="391">
        <v>79</v>
      </c>
      <c r="CK107" s="391">
        <v>79</v>
      </c>
      <c r="CL107" s="391">
        <v>79</v>
      </c>
      <c r="CM107" s="391">
        <v>87</v>
      </c>
      <c r="CN107" s="391">
        <v>87</v>
      </c>
      <c r="CO107" s="391">
        <v>90</v>
      </c>
      <c r="CP107" s="391">
        <v>94</v>
      </c>
      <c r="CQ107" s="391">
        <v>108</v>
      </c>
      <c r="CR107" s="391">
        <v>108</v>
      </c>
      <c r="DI107" s="380">
        <v>24</v>
      </c>
      <c r="DJ107" s="384">
        <v>90</v>
      </c>
      <c r="DK107" s="384">
        <v>90</v>
      </c>
      <c r="DL107" s="384">
        <v>90</v>
      </c>
      <c r="DM107" s="384">
        <v>90</v>
      </c>
      <c r="DN107" s="384">
        <v>90</v>
      </c>
      <c r="DO107" s="384">
        <v>94</v>
      </c>
      <c r="DP107" s="384">
        <v>96</v>
      </c>
      <c r="DQ107" s="384">
        <v>100</v>
      </c>
      <c r="DR107" s="384">
        <v>102</v>
      </c>
      <c r="DS107" s="384">
        <v>122</v>
      </c>
      <c r="DT107" s="384">
        <v>122</v>
      </c>
    </row>
    <row r="108" spans="1:124" x14ac:dyDescent="0.15">
      <c r="A108" s="380">
        <v>25</v>
      </c>
      <c r="B108" s="384">
        <v>79</v>
      </c>
      <c r="C108" s="384">
        <v>79</v>
      </c>
      <c r="D108" s="384">
        <v>79</v>
      </c>
      <c r="E108" s="384">
        <v>79</v>
      </c>
      <c r="F108" s="384">
        <v>79</v>
      </c>
      <c r="G108" s="384">
        <v>83</v>
      </c>
      <c r="H108" s="384">
        <v>87</v>
      </c>
      <c r="I108" s="384">
        <v>90</v>
      </c>
      <c r="J108" s="384">
        <v>92</v>
      </c>
      <c r="K108" s="384">
        <v>106</v>
      </c>
      <c r="L108" s="384">
        <v>106</v>
      </c>
      <c r="AC108" s="380">
        <v>25</v>
      </c>
      <c r="AD108" s="384">
        <v>79</v>
      </c>
      <c r="AE108" s="384">
        <v>79</v>
      </c>
      <c r="AF108" s="384">
        <v>79</v>
      </c>
      <c r="AG108" s="384">
        <v>79</v>
      </c>
      <c r="AH108" s="384">
        <v>79</v>
      </c>
      <c r="AI108" s="384">
        <v>83</v>
      </c>
      <c r="AJ108" s="384">
        <v>87</v>
      </c>
      <c r="AK108" s="384">
        <v>90</v>
      </c>
      <c r="AL108" s="384">
        <v>94</v>
      </c>
      <c r="AM108" s="384">
        <v>105</v>
      </c>
      <c r="AN108" s="384">
        <v>105</v>
      </c>
      <c r="BE108" s="380">
        <v>25</v>
      </c>
      <c r="BF108" s="384">
        <v>79</v>
      </c>
      <c r="BG108" s="384">
        <v>79</v>
      </c>
      <c r="BH108" s="384">
        <v>79</v>
      </c>
      <c r="BI108" s="384">
        <v>79</v>
      </c>
      <c r="BJ108" s="384">
        <v>79</v>
      </c>
      <c r="BK108" s="384">
        <v>83</v>
      </c>
      <c r="BL108" s="384">
        <v>87</v>
      </c>
      <c r="BM108" s="384">
        <v>90</v>
      </c>
      <c r="BN108" s="384">
        <v>94</v>
      </c>
      <c r="BO108" s="384">
        <v>108</v>
      </c>
      <c r="BP108" s="384">
        <v>108</v>
      </c>
      <c r="CG108" s="389">
        <v>25</v>
      </c>
      <c r="CH108" s="392">
        <v>83</v>
      </c>
      <c r="CI108" s="392">
        <v>83</v>
      </c>
      <c r="CJ108" s="392">
        <v>83</v>
      </c>
      <c r="CK108" s="392">
        <v>83</v>
      </c>
      <c r="CL108" s="392">
        <v>83</v>
      </c>
      <c r="CM108" s="392">
        <v>90</v>
      </c>
      <c r="CN108" s="392">
        <v>90</v>
      </c>
      <c r="CO108" s="392">
        <v>92</v>
      </c>
      <c r="CP108" s="392">
        <v>96</v>
      </c>
      <c r="CQ108" s="391">
        <v>112</v>
      </c>
      <c r="CR108" s="391">
        <v>112</v>
      </c>
      <c r="DI108" s="380">
        <v>25</v>
      </c>
      <c r="DJ108" s="384">
        <v>92</v>
      </c>
      <c r="DK108" s="384">
        <v>92</v>
      </c>
      <c r="DL108" s="384">
        <v>92</v>
      </c>
      <c r="DM108" s="384">
        <v>92</v>
      </c>
      <c r="DN108" s="384">
        <v>92</v>
      </c>
      <c r="DO108" s="384">
        <v>96</v>
      </c>
      <c r="DP108" s="384">
        <v>100</v>
      </c>
      <c r="DQ108" s="384">
        <v>102</v>
      </c>
      <c r="DR108" s="384">
        <v>104</v>
      </c>
      <c r="DS108" s="384">
        <v>125</v>
      </c>
      <c r="DT108" s="384">
        <v>125</v>
      </c>
    </row>
    <row r="109" spans="1:124" x14ac:dyDescent="0.15">
      <c r="A109" s="380">
        <v>26</v>
      </c>
      <c r="B109" s="384">
        <v>83</v>
      </c>
      <c r="C109" s="384">
        <v>83</v>
      </c>
      <c r="D109" s="384">
        <v>83</v>
      </c>
      <c r="E109" s="384">
        <v>83</v>
      </c>
      <c r="F109" s="384">
        <v>83</v>
      </c>
      <c r="G109" s="384">
        <v>87</v>
      </c>
      <c r="H109" s="384">
        <v>90</v>
      </c>
      <c r="I109" s="384">
        <v>92</v>
      </c>
      <c r="J109" s="384">
        <v>94</v>
      </c>
      <c r="K109" s="384">
        <v>110</v>
      </c>
      <c r="L109" s="384">
        <v>110</v>
      </c>
      <c r="AC109" s="380">
        <v>26</v>
      </c>
      <c r="AD109" s="384">
        <v>83</v>
      </c>
      <c r="AE109" s="384">
        <v>83</v>
      </c>
      <c r="AF109" s="384">
        <v>83</v>
      </c>
      <c r="AG109" s="384">
        <v>83</v>
      </c>
      <c r="AH109" s="384">
        <v>83</v>
      </c>
      <c r="AI109" s="384">
        <v>87</v>
      </c>
      <c r="AJ109" s="384">
        <v>90</v>
      </c>
      <c r="AK109" s="384">
        <v>92</v>
      </c>
      <c r="AL109" s="384">
        <v>96</v>
      </c>
      <c r="AM109" s="384">
        <v>109</v>
      </c>
      <c r="AN109" s="384">
        <v>109</v>
      </c>
      <c r="BE109" s="380">
        <v>26</v>
      </c>
      <c r="BF109" s="384">
        <v>83</v>
      </c>
      <c r="BG109" s="384">
        <v>83</v>
      </c>
      <c r="BH109" s="384">
        <v>83</v>
      </c>
      <c r="BI109" s="384">
        <v>83</v>
      </c>
      <c r="BJ109" s="384">
        <v>83</v>
      </c>
      <c r="BK109" s="384">
        <v>87</v>
      </c>
      <c r="BL109" s="384">
        <v>90</v>
      </c>
      <c r="BM109" s="384">
        <v>92</v>
      </c>
      <c r="BN109" s="384">
        <v>96</v>
      </c>
      <c r="BO109" s="384">
        <v>111</v>
      </c>
      <c r="BP109" s="384">
        <v>111</v>
      </c>
      <c r="CG109" s="390">
        <v>26</v>
      </c>
      <c r="CH109" s="392">
        <v>83</v>
      </c>
      <c r="CI109" s="392">
        <v>83</v>
      </c>
      <c r="CJ109" s="392">
        <v>83</v>
      </c>
      <c r="CK109" s="392">
        <v>83</v>
      </c>
      <c r="CL109" s="392">
        <v>83</v>
      </c>
      <c r="CM109" s="392">
        <v>90</v>
      </c>
      <c r="CN109" s="392">
        <v>90</v>
      </c>
      <c r="CO109" s="392">
        <v>92</v>
      </c>
      <c r="CP109" s="392">
        <v>96</v>
      </c>
      <c r="CQ109" s="391">
        <v>112</v>
      </c>
      <c r="CR109" s="391">
        <v>112</v>
      </c>
      <c r="DI109" s="380">
        <v>26</v>
      </c>
      <c r="DJ109" s="384">
        <v>92</v>
      </c>
      <c r="DK109" s="384">
        <v>92</v>
      </c>
      <c r="DL109" s="384">
        <v>92</v>
      </c>
      <c r="DM109" s="384">
        <v>92</v>
      </c>
      <c r="DN109" s="384">
        <v>92</v>
      </c>
      <c r="DO109" s="384">
        <v>96</v>
      </c>
      <c r="DP109" s="384">
        <v>100</v>
      </c>
      <c r="DQ109" s="384">
        <v>102</v>
      </c>
      <c r="DR109" s="384">
        <v>104</v>
      </c>
      <c r="DS109" s="384">
        <v>125</v>
      </c>
      <c r="DT109" s="384">
        <v>125</v>
      </c>
    </row>
    <row r="110" spans="1:124" x14ac:dyDescent="0.15">
      <c r="A110" s="380">
        <v>27</v>
      </c>
      <c r="B110" s="384">
        <v>83</v>
      </c>
      <c r="C110" s="384">
        <v>83</v>
      </c>
      <c r="D110" s="384">
        <v>83</v>
      </c>
      <c r="E110" s="384">
        <v>83</v>
      </c>
      <c r="F110" s="384">
        <v>83</v>
      </c>
      <c r="G110" s="384">
        <v>87</v>
      </c>
      <c r="H110" s="384">
        <v>90</v>
      </c>
      <c r="I110" s="384">
        <v>92</v>
      </c>
      <c r="J110" s="384">
        <v>94</v>
      </c>
      <c r="K110" s="384">
        <v>110</v>
      </c>
      <c r="L110" s="384">
        <v>110</v>
      </c>
      <c r="AC110" s="380">
        <v>27</v>
      </c>
      <c r="AD110" s="384">
        <v>83</v>
      </c>
      <c r="AE110" s="384">
        <v>83</v>
      </c>
      <c r="AF110" s="384">
        <v>83</v>
      </c>
      <c r="AG110" s="384">
        <v>83</v>
      </c>
      <c r="AH110" s="384">
        <v>83</v>
      </c>
      <c r="AI110" s="384">
        <v>87</v>
      </c>
      <c r="AJ110" s="384">
        <v>90</v>
      </c>
      <c r="AK110" s="384">
        <v>92</v>
      </c>
      <c r="AL110" s="384">
        <v>96</v>
      </c>
      <c r="AM110" s="384">
        <v>109</v>
      </c>
      <c r="AN110" s="384">
        <v>109</v>
      </c>
      <c r="BE110" s="380">
        <v>27</v>
      </c>
      <c r="BF110" s="384">
        <v>87</v>
      </c>
      <c r="BG110" s="384">
        <v>87</v>
      </c>
      <c r="BH110" s="384">
        <v>87</v>
      </c>
      <c r="BI110" s="384">
        <v>87</v>
      </c>
      <c r="BJ110" s="384">
        <v>87</v>
      </c>
      <c r="BK110" s="384">
        <v>90</v>
      </c>
      <c r="BL110" s="384">
        <v>92</v>
      </c>
      <c r="BM110" s="384">
        <v>94</v>
      </c>
      <c r="BN110" s="384">
        <v>100</v>
      </c>
      <c r="BO110" s="384">
        <v>116</v>
      </c>
      <c r="BP110" s="384">
        <v>116</v>
      </c>
      <c r="CG110" s="389">
        <v>27</v>
      </c>
      <c r="CH110" s="392">
        <v>87</v>
      </c>
      <c r="CI110" s="392">
        <v>87</v>
      </c>
      <c r="CJ110" s="392">
        <v>87</v>
      </c>
      <c r="CK110" s="392">
        <v>87</v>
      </c>
      <c r="CL110" s="392">
        <v>87</v>
      </c>
      <c r="CM110" s="392">
        <v>92</v>
      </c>
      <c r="CN110" s="392">
        <v>92</v>
      </c>
      <c r="CO110" s="392">
        <v>94</v>
      </c>
      <c r="CP110" s="391">
        <v>100</v>
      </c>
      <c r="CQ110" s="392">
        <v>117</v>
      </c>
      <c r="CR110" s="392">
        <v>117</v>
      </c>
      <c r="DI110" s="380">
        <v>27</v>
      </c>
      <c r="DJ110" s="384">
        <v>94</v>
      </c>
      <c r="DK110" s="384">
        <v>94</v>
      </c>
      <c r="DL110" s="384">
        <v>94</v>
      </c>
      <c r="DM110" s="384">
        <v>94</v>
      </c>
      <c r="DN110" s="384">
        <v>94</v>
      </c>
      <c r="DO110" s="384">
        <v>100</v>
      </c>
      <c r="DP110" s="384">
        <v>102</v>
      </c>
      <c r="DQ110" s="384">
        <v>104</v>
      </c>
      <c r="DR110" s="384">
        <v>108</v>
      </c>
      <c r="DS110" s="384">
        <v>129</v>
      </c>
      <c r="DT110" s="384">
        <v>129</v>
      </c>
    </row>
    <row r="111" spans="1:124" x14ac:dyDescent="0.15">
      <c r="A111" s="380">
        <v>28</v>
      </c>
      <c r="B111" s="384">
        <v>87</v>
      </c>
      <c r="C111" s="384">
        <v>87</v>
      </c>
      <c r="D111" s="384">
        <v>87</v>
      </c>
      <c r="E111" s="384">
        <v>87</v>
      </c>
      <c r="F111" s="384">
        <v>87</v>
      </c>
      <c r="G111" s="384">
        <v>90</v>
      </c>
      <c r="H111" s="384">
        <v>92</v>
      </c>
      <c r="I111" s="384">
        <v>94</v>
      </c>
      <c r="J111" s="384">
        <v>96</v>
      </c>
      <c r="K111" s="384">
        <v>114</v>
      </c>
      <c r="L111" s="384">
        <v>114</v>
      </c>
      <c r="AC111" s="380">
        <v>28</v>
      </c>
      <c r="AD111" s="384">
        <v>87</v>
      </c>
      <c r="AE111" s="384">
        <v>87</v>
      </c>
      <c r="AF111" s="384">
        <v>87</v>
      </c>
      <c r="AG111" s="384">
        <v>87</v>
      </c>
      <c r="AH111" s="384">
        <v>87</v>
      </c>
      <c r="AI111" s="384">
        <v>90</v>
      </c>
      <c r="AJ111" s="384">
        <v>92</v>
      </c>
      <c r="AK111" s="384">
        <v>94</v>
      </c>
      <c r="AL111" s="384">
        <v>100</v>
      </c>
      <c r="AM111" s="384">
        <v>113</v>
      </c>
      <c r="AN111" s="384">
        <v>113</v>
      </c>
      <c r="BE111" s="380">
        <v>28</v>
      </c>
      <c r="BF111" s="384">
        <v>87</v>
      </c>
      <c r="BG111" s="384">
        <v>87</v>
      </c>
      <c r="BH111" s="384">
        <v>87</v>
      </c>
      <c r="BI111" s="384">
        <v>87</v>
      </c>
      <c r="BJ111" s="384">
        <v>87</v>
      </c>
      <c r="BK111" s="384">
        <v>90</v>
      </c>
      <c r="BL111" s="384">
        <v>92</v>
      </c>
      <c r="BM111" s="384">
        <v>94</v>
      </c>
      <c r="BN111" s="384">
        <v>100</v>
      </c>
      <c r="BO111" s="384">
        <v>116</v>
      </c>
      <c r="BP111" s="384">
        <v>116</v>
      </c>
      <c r="CG111" s="390">
        <v>28</v>
      </c>
      <c r="CH111" s="392">
        <v>90</v>
      </c>
      <c r="CI111" s="392">
        <v>90</v>
      </c>
      <c r="CJ111" s="392">
        <v>90</v>
      </c>
      <c r="CK111" s="392">
        <v>90</v>
      </c>
      <c r="CL111" s="392">
        <v>90</v>
      </c>
      <c r="CM111" s="392">
        <v>94</v>
      </c>
      <c r="CN111" s="392">
        <v>94</v>
      </c>
      <c r="CO111" s="392">
        <v>96</v>
      </c>
      <c r="CP111" s="391">
        <v>102</v>
      </c>
      <c r="CQ111" s="391">
        <v>120</v>
      </c>
      <c r="CR111" s="391">
        <v>120</v>
      </c>
      <c r="DI111" s="380">
        <v>28</v>
      </c>
      <c r="DJ111" s="384">
        <v>94</v>
      </c>
      <c r="DK111" s="384">
        <v>94</v>
      </c>
      <c r="DL111" s="384">
        <v>94</v>
      </c>
      <c r="DM111" s="384">
        <v>94</v>
      </c>
      <c r="DN111" s="384">
        <v>94</v>
      </c>
      <c r="DO111" s="384">
        <v>100</v>
      </c>
      <c r="DP111" s="384">
        <v>102</v>
      </c>
      <c r="DQ111" s="384">
        <v>104</v>
      </c>
      <c r="DR111" s="384">
        <v>108</v>
      </c>
      <c r="DS111" s="384">
        <v>129</v>
      </c>
      <c r="DT111" s="384">
        <v>129</v>
      </c>
    </row>
    <row r="112" spans="1:124" x14ac:dyDescent="0.15">
      <c r="A112" s="380">
        <v>29</v>
      </c>
      <c r="B112" s="384">
        <v>87</v>
      </c>
      <c r="C112" s="384">
        <v>87</v>
      </c>
      <c r="D112" s="384">
        <v>87</v>
      </c>
      <c r="E112" s="384">
        <v>87</v>
      </c>
      <c r="F112" s="384">
        <v>87</v>
      </c>
      <c r="G112" s="384">
        <v>90</v>
      </c>
      <c r="H112" s="384">
        <v>92</v>
      </c>
      <c r="I112" s="384">
        <v>94</v>
      </c>
      <c r="J112" s="384">
        <v>96</v>
      </c>
      <c r="K112" s="384">
        <v>114</v>
      </c>
      <c r="L112" s="384">
        <v>114</v>
      </c>
      <c r="AC112" s="380">
        <v>29</v>
      </c>
      <c r="AD112" s="384">
        <v>87</v>
      </c>
      <c r="AE112" s="384">
        <v>87</v>
      </c>
      <c r="AF112" s="384">
        <v>87</v>
      </c>
      <c r="AG112" s="384">
        <v>87</v>
      </c>
      <c r="AH112" s="384">
        <v>87</v>
      </c>
      <c r="AI112" s="384">
        <v>90</v>
      </c>
      <c r="AJ112" s="384">
        <v>92</v>
      </c>
      <c r="AK112" s="384">
        <v>94</v>
      </c>
      <c r="AL112" s="384">
        <v>100</v>
      </c>
      <c r="AM112" s="384">
        <v>113</v>
      </c>
      <c r="AN112" s="384">
        <v>113</v>
      </c>
      <c r="BE112" s="380">
        <v>29</v>
      </c>
      <c r="BF112" s="384">
        <v>90</v>
      </c>
      <c r="BG112" s="384">
        <v>90</v>
      </c>
      <c r="BH112" s="384">
        <v>90</v>
      </c>
      <c r="BI112" s="384">
        <v>90</v>
      </c>
      <c r="BJ112" s="384">
        <v>90</v>
      </c>
      <c r="BK112" s="384">
        <v>92</v>
      </c>
      <c r="BL112" s="384">
        <v>94</v>
      </c>
      <c r="BM112" s="384">
        <v>96</v>
      </c>
      <c r="BN112" s="384">
        <v>102</v>
      </c>
      <c r="BO112" s="384">
        <v>120</v>
      </c>
      <c r="BP112" s="384">
        <v>120</v>
      </c>
      <c r="CG112" s="389">
        <v>29</v>
      </c>
      <c r="CH112" s="392">
        <v>92</v>
      </c>
      <c r="CI112" s="392">
        <v>92</v>
      </c>
      <c r="CJ112" s="392">
        <v>92</v>
      </c>
      <c r="CK112" s="392">
        <v>92</v>
      </c>
      <c r="CL112" s="392">
        <v>92</v>
      </c>
      <c r="CM112" s="392">
        <v>96</v>
      </c>
      <c r="CN112" s="392">
        <v>96</v>
      </c>
      <c r="CO112" s="391">
        <v>100</v>
      </c>
      <c r="CP112" s="392">
        <v>104</v>
      </c>
      <c r="CQ112" s="392">
        <v>124</v>
      </c>
      <c r="CR112" s="392">
        <v>124</v>
      </c>
      <c r="DI112" s="380">
        <v>29</v>
      </c>
      <c r="DJ112" s="384">
        <v>94</v>
      </c>
      <c r="DK112" s="384">
        <v>94</v>
      </c>
      <c r="DL112" s="384">
        <v>94</v>
      </c>
      <c r="DM112" s="384">
        <v>94</v>
      </c>
      <c r="DN112" s="384">
        <v>94</v>
      </c>
      <c r="DO112" s="384">
        <v>100</v>
      </c>
      <c r="DP112" s="384">
        <v>102</v>
      </c>
      <c r="DQ112" s="384">
        <v>104</v>
      </c>
      <c r="DR112" s="384">
        <v>108</v>
      </c>
      <c r="DS112" s="384">
        <v>129</v>
      </c>
      <c r="DT112" s="384">
        <v>129</v>
      </c>
    </row>
    <row r="113" spans="1:130" x14ac:dyDescent="0.15">
      <c r="A113" s="380">
        <v>30</v>
      </c>
      <c r="B113" s="384">
        <v>90</v>
      </c>
      <c r="C113" s="384">
        <v>90</v>
      </c>
      <c r="D113" s="384">
        <v>90</v>
      </c>
      <c r="E113" s="384">
        <v>90</v>
      </c>
      <c r="F113" s="384">
        <v>90</v>
      </c>
      <c r="G113" s="384">
        <v>92</v>
      </c>
      <c r="H113" s="384">
        <v>94</v>
      </c>
      <c r="I113" s="384">
        <v>96</v>
      </c>
      <c r="J113" s="384">
        <v>100</v>
      </c>
      <c r="K113" s="384">
        <v>118</v>
      </c>
      <c r="L113" s="384">
        <v>118</v>
      </c>
      <c r="AC113" s="380">
        <v>30</v>
      </c>
      <c r="AD113" s="384">
        <v>90</v>
      </c>
      <c r="AE113" s="384">
        <v>90</v>
      </c>
      <c r="AF113" s="384">
        <v>90</v>
      </c>
      <c r="AG113" s="384">
        <v>90</v>
      </c>
      <c r="AH113" s="384">
        <v>90</v>
      </c>
      <c r="AI113" s="384">
        <v>92</v>
      </c>
      <c r="AJ113" s="384">
        <v>94</v>
      </c>
      <c r="AK113" s="384">
        <v>96</v>
      </c>
      <c r="AL113" s="384">
        <v>102</v>
      </c>
      <c r="AM113" s="384">
        <v>117</v>
      </c>
      <c r="AN113" s="384">
        <v>117</v>
      </c>
      <c r="BE113" s="380">
        <v>30</v>
      </c>
      <c r="BF113" s="384">
        <v>90</v>
      </c>
      <c r="BG113" s="384">
        <v>90</v>
      </c>
      <c r="BH113" s="384">
        <v>90</v>
      </c>
      <c r="BI113" s="384">
        <v>90</v>
      </c>
      <c r="BJ113" s="384">
        <v>90</v>
      </c>
      <c r="BK113" s="384">
        <v>92</v>
      </c>
      <c r="BL113" s="384">
        <v>94</v>
      </c>
      <c r="BM113" s="384">
        <v>96</v>
      </c>
      <c r="BN113" s="384">
        <v>102</v>
      </c>
      <c r="BO113" s="384">
        <v>120</v>
      </c>
      <c r="BP113" s="384">
        <v>120</v>
      </c>
      <c r="CG113" s="389">
        <v>30</v>
      </c>
      <c r="CH113" s="392">
        <v>92</v>
      </c>
      <c r="CI113" s="392">
        <v>92</v>
      </c>
      <c r="CJ113" s="392">
        <v>92</v>
      </c>
      <c r="CK113" s="392">
        <v>92</v>
      </c>
      <c r="CL113" s="392">
        <v>92</v>
      </c>
      <c r="CM113" s="392">
        <v>96</v>
      </c>
      <c r="CN113" s="392">
        <v>96</v>
      </c>
      <c r="CO113" s="391">
        <v>100</v>
      </c>
      <c r="CP113" s="392">
        <v>104</v>
      </c>
      <c r="CQ113" s="392">
        <v>124</v>
      </c>
      <c r="CR113" s="392">
        <v>124</v>
      </c>
      <c r="DI113" s="380">
        <v>30</v>
      </c>
      <c r="DJ113" s="384">
        <v>96</v>
      </c>
      <c r="DK113" s="384">
        <v>96</v>
      </c>
      <c r="DL113" s="384">
        <v>96</v>
      </c>
      <c r="DM113" s="384">
        <v>96</v>
      </c>
      <c r="DN113" s="384">
        <v>96</v>
      </c>
      <c r="DO113" s="384">
        <v>102</v>
      </c>
      <c r="DP113" s="384">
        <v>104</v>
      </c>
      <c r="DQ113" s="384">
        <v>108</v>
      </c>
      <c r="DR113" s="384">
        <v>112</v>
      </c>
      <c r="DS113" s="384">
        <v>133</v>
      </c>
      <c r="DT113" s="384">
        <v>133</v>
      </c>
    </row>
    <row r="114" spans="1:130" x14ac:dyDescent="0.15">
      <c r="A114" s="380">
        <v>31</v>
      </c>
      <c r="B114" s="384">
        <v>90</v>
      </c>
      <c r="C114" s="384">
        <v>90</v>
      </c>
      <c r="D114" s="384">
        <v>90</v>
      </c>
      <c r="E114" s="384">
        <v>90</v>
      </c>
      <c r="F114" s="384">
        <v>90</v>
      </c>
      <c r="G114" s="384">
        <v>92</v>
      </c>
      <c r="H114" s="384">
        <v>94</v>
      </c>
      <c r="I114" s="384">
        <v>96</v>
      </c>
      <c r="J114" s="384">
        <v>100</v>
      </c>
      <c r="K114" s="384">
        <v>118</v>
      </c>
      <c r="L114" s="384">
        <v>118</v>
      </c>
      <c r="AC114" s="380">
        <v>31</v>
      </c>
      <c r="AD114" s="384">
        <v>92</v>
      </c>
      <c r="AE114" s="384">
        <v>92</v>
      </c>
      <c r="AF114" s="384">
        <v>92</v>
      </c>
      <c r="AG114" s="384">
        <v>92</v>
      </c>
      <c r="AH114" s="384">
        <v>92</v>
      </c>
      <c r="AI114" s="384">
        <v>94</v>
      </c>
      <c r="AJ114" s="384">
        <v>96</v>
      </c>
      <c r="AK114" s="384">
        <v>100</v>
      </c>
      <c r="AL114" s="384">
        <v>104</v>
      </c>
      <c r="AM114" s="384">
        <v>120</v>
      </c>
      <c r="AN114" s="384">
        <v>120</v>
      </c>
      <c r="BE114" s="380">
        <v>31</v>
      </c>
      <c r="BF114" s="384">
        <v>94</v>
      </c>
      <c r="BG114" s="384">
        <v>94</v>
      </c>
      <c r="BH114" s="384">
        <v>94</v>
      </c>
      <c r="BI114" s="384">
        <v>94</v>
      </c>
      <c r="BJ114" s="384">
        <v>94</v>
      </c>
      <c r="BK114" s="384">
        <v>96</v>
      </c>
      <c r="BL114" s="384">
        <v>100</v>
      </c>
      <c r="BM114" s="384">
        <v>102</v>
      </c>
      <c r="BN114" s="384">
        <v>108</v>
      </c>
      <c r="BO114" s="384">
        <v>127</v>
      </c>
      <c r="BP114" s="384">
        <v>127</v>
      </c>
      <c r="CG114" s="389">
        <v>31</v>
      </c>
      <c r="CH114" s="392">
        <v>94</v>
      </c>
      <c r="CI114" s="392">
        <v>94</v>
      </c>
      <c r="CJ114" s="392">
        <v>94</v>
      </c>
      <c r="CK114" s="392">
        <v>94</v>
      </c>
      <c r="CL114" s="392">
        <v>94</v>
      </c>
      <c r="CM114" s="391">
        <v>100</v>
      </c>
      <c r="CN114" s="391">
        <v>100</v>
      </c>
      <c r="CO114" s="391">
        <v>102</v>
      </c>
      <c r="CP114" s="391">
        <v>108</v>
      </c>
      <c r="CQ114" s="391">
        <v>128</v>
      </c>
      <c r="CR114" s="391">
        <v>128</v>
      </c>
      <c r="DI114" s="380">
        <v>31</v>
      </c>
      <c r="DJ114" s="384">
        <v>96</v>
      </c>
      <c r="DK114" s="384">
        <v>96</v>
      </c>
      <c r="DL114" s="384">
        <v>96</v>
      </c>
      <c r="DM114" s="384">
        <v>96</v>
      </c>
      <c r="DN114" s="384">
        <v>96</v>
      </c>
      <c r="DO114" s="384">
        <v>102</v>
      </c>
      <c r="DP114" s="384">
        <v>104</v>
      </c>
      <c r="DQ114" s="384">
        <v>108</v>
      </c>
      <c r="DR114" s="384">
        <v>112</v>
      </c>
      <c r="DS114" s="384">
        <v>133</v>
      </c>
      <c r="DT114" s="384">
        <v>133</v>
      </c>
    </row>
    <row r="115" spans="1:130" x14ac:dyDescent="0.15">
      <c r="A115" s="380">
        <v>32</v>
      </c>
      <c r="B115" s="384">
        <v>92</v>
      </c>
      <c r="C115" s="384">
        <v>92</v>
      </c>
      <c r="D115" s="384">
        <v>92</v>
      </c>
      <c r="E115" s="384">
        <v>92</v>
      </c>
      <c r="F115" s="384">
        <v>92</v>
      </c>
      <c r="G115" s="384">
        <v>94</v>
      </c>
      <c r="H115" s="384">
        <v>96</v>
      </c>
      <c r="I115" s="384">
        <v>100</v>
      </c>
      <c r="J115" s="384">
        <v>102</v>
      </c>
      <c r="K115" s="384">
        <v>122</v>
      </c>
      <c r="L115" s="384">
        <v>122</v>
      </c>
      <c r="AC115" s="380">
        <v>32</v>
      </c>
      <c r="AD115" s="384">
        <v>92</v>
      </c>
      <c r="AE115" s="384">
        <v>92</v>
      </c>
      <c r="AF115" s="384">
        <v>92</v>
      </c>
      <c r="AG115" s="384">
        <v>92</v>
      </c>
      <c r="AH115" s="384">
        <v>92</v>
      </c>
      <c r="AI115" s="384">
        <v>94</v>
      </c>
      <c r="AJ115" s="384">
        <v>96</v>
      </c>
      <c r="AK115" s="384">
        <v>100</v>
      </c>
      <c r="AL115" s="384">
        <v>104</v>
      </c>
      <c r="AM115" s="384">
        <v>120</v>
      </c>
      <c r="AN115" s="384">
        <v>120</v>
      </c>
      <c r="BE115" s="380">
        <v>32</v>
      </c>
      <c r="BF115" s="384">
        <v>94</v>
      </c>
      <c r="BG115" s="384">
        <v>94</v>
      </c>
      <c r="BH115" s="384">
        <v>94</v>
      </c>
      <c r="BI115" s="384">
        <v>94</v>
      </c>
      <c r="BJ115" s="384">
        <v>94</v>
      </c>
      <c r="BK115" s="384">
        <v>96</v>
      </c>
      <c r="BL115" s="384">
        <v>100</v>
      </c>
      <c r="BM115" s="384">
        <v>102</v>
      </c>
      <c r="BN115" s="384">
        <v>108</v>
      </c>
      <c r="BO115" s="384">
        <v>127</v>
      </c>
      <c r="BP115" s="384">
        <v>127</v>
      </c>
      <c r="CG115" s="389">
        <v>32</v>
      </c>
      <c r="CH115" s="392">
        <v>94</v>
      </c>
      <c r="CI115" s="392">
        <v>94</v>
      </c>
      <c r="CJ115" s="392">
        <v>94</v>
      </c>
      <c r="CK115" s="392">
        <v>94</v>
      </c>
      <c r="CL115" s="392">
        <v>94</v>
      </c>
      <c r="CM115" s="391">
        <v>100</v>
      </c>
      <c r="CN115" s="391">
        <v>100</v>
      </c>
      <c r="CO115" s="391">
        <v>102</v>
      </c>
      <c r="CP115" s="391">
        <v>108</v>
      </c>
      <c r="CQ115" s="391">
        <v>128</v>
      </c>
      <c r="CR115" s="391">
        <v>128</v>
      </c>
      <c r="DI115" s="380">
        <v>32</v>
      </c>
      <c r="DJ115" s="384">
        <v>96</v>
      </c>
      <c r="DK115" s="384">
        <v>96</v>
      </c>
      <c r="DL115" s="384">
        <v>96</v>
      </c>
      <c r="DM115" s="384">
        <v>96</v>
      </c>
      <c r="DN115" s="384">
        <v>96</v>
      </c>
      <c r="DO115" s="384">
        <v>102</v>
      </c>
      <c r="DP115" s="384">
        <v>104</v>
      </c>
      <c r="DQ115" s="384">
        <v>108</v>
      </c>
      <c r="DR115" s="384">
        <v>112</v>
      </c>
      <c r="DS115" s="384">
        <v>133</v>
      </c>
      <c r="DT115" s="384">
        <v>133</v>
      </c>
    </row>
    <row r="116" spans="1:130" x14ac:dyDescent="0.15">
      <c r="A116" s="380">
        <v>33</v>
      </c>
      <c r="B116" s="384">
        <v>92</v>
      </c>
      <c r="C116" s="384">
        <v>92</v>
      </c>
      <c r="D116" s="384">
        <v>92</v>
      </c>
      <c r="E116" s="384">
        <v>92</v>
      </c>
      <c r="F116" s="384">
        <v>92</v>
      </c>
      <c r="G116" s="384">
        <v>94</v>
      </c>
      <c r="H116" s="384">
        <v>96</v>
      </c>
      <c r="I116" s="384">
        <v>100</v>
      </c>
      <c r="J116" s="384">
        <v>102</v>
      </c>
      <c r="K116" s="384">
        <v>122</v>
      </c>
      <c r="L116" s="384">
        <v>122</v>
      </c>
      <c r="AC116" s="380">
        <v>33</v>
      </c>
      <c r="AD116" s="384">
        <v>94</v>
      </c>
      <c r="AE116" s="384">
        <v>94</v>
      </c>
      <c r="AF116" s="384">
        <v>94</v>
      </c>
      <c r="AG116" s="384">
        <v>94</v>
      </c>
      <c r="AH116" s="384">
        <v>94</v>
      </c>
      <c r="AI116" s="384">
        <v>96</v>
      </c>
      <c r="AJ116" s="384">
        <v>100</v>
      </c>
      <c r="AK116" s="384">
        <v>102</v>
      </c>
      <c r="AL116" s="384">
        <v>108</v>
      </c>
      <c r="AM116" s="384">
        <v>124</v>
      </c>
      <c r="AN116" s="384">
        <v>124</v>
      </c>
      <c r="BE116" s="380">
        <v>33</v>
      </c>
      <c r="BF116" s="384">
        <v>94</v>
      </c>
      <c r="BG116" s="384">
        <v>94</v>
      </c>
      <c r="BH116" s="384">
        <v>94</v>
      </c>
      <c r="BI116" s="384">
        <v>94</v>
      </c>
      <c r="BJ116" s="384">
        <v>94</v>
      </c>
      <c r="BK116" s="384">
        <v>96</v>
      </c>
      <c r="BL116" s="384">
        <v>100</v>
      </c>
      <c r="BM116" s="384">
        <v>102</v>
      </c>
      <c r="BN116" s="384">
        <v>108</v>
      </c>
      <c r="BO116" s="384">
        <v>127</v>
      </c>
      <c r="BP116" s="384">
        <v>127</v>
      </c>
      <c r="CG116" s="389">
        <v>33</v>
      </c>
      <c r="CH116" s="392">
        <v>96</v>
      </c>
      <c r="CI116" s="392">
        <v>96</v>
      </c>
      <c r="CJ116" s="392">
        <v>96</v>
      </c>
      <c r="CK116" s="392">
        <v>96</v>
      </c>
      <c r="CL116" s="392">
        <v>96</v>
      </c>
      <c r="CM116" s="391">
        <v>102</v>
      </c>
      <c r="CN116" s="391">
        <v>102</v>
      </c>
      <c r="CO116" s="392">
        <v>104</v>
      </c>
      <c r="CP116" s="391">
        <v>112</v>
      </c>
      <c r="CQ116" s="392">
        <v>131</v>
      </c>
      <c r="CR116" s="392">
        <v>131</v>
      </c>
      <c r="DI116" s="380">
        <v>33</v>
      </c>
      <c r="DJ116" s="384">
        <v>100</v>
      </c>
      <c r="DK116" s="384">
        <v>100</v>
      </c>
      <c r="DL116" s="384">
        <v>100</v>
      </c>
      <c r="DM116" s="384">
        <v>100</v>
      </c>
      <c r="DN116" s="384">
        <v>100</v>
      </c>
      <c r="DO116" s="384">
        <v>104</v>
      </c>
      <c r="DP116" s="384">
        <v>108</v>
      </c>
      <c r="DQ116" s="384">
        <v>112</v>
      </c>
      <c r="DR116" s="384">
        <v>116</v>
      </c>
      <c r="DS116" s="384">
        <v>137</v>
      </c>
      <c r="DT116" s="384">
        <v>137</v>
      </c>
    </row>
    <row r="117" spans="1:130" x14ac:dyDescent="0.15">
      <c r="A117" s="380">
        <v>34</v>
      </c>
      <c r="B117" s="384">
        <v>94</v>
      </c>
      <c r="C117" s="384">
        <v>94</v>
      </c>
      <c r="D117" s="384">
        <v>94</v>
      </c>
      <c r="E117" s="384">
        <v>94</v>
      </c>
      <c r="F117" s="384">
        <v>94</v>
      </c>
      <c r="G117" s="384">
        <v>96</v>
      </c>
      <c r="H117" s="384">
        <v>100</v>
      </c>
      <c r="I117" s="384">
        <v>102</v>
      </c>
      <c r="J117" s="384">
        <v>104</v>
      </c>
      <c r="K117" s="384">
        <v>125</v>
      </c>
      <c r="L117" s="384">
        <v>125</v>
      </c>
      <c r="AC117" s="380">
        <v>34</v>
      </c>
      <c r="AD117" s="384">
        <v>96</v>
      </c>
      <c r="AE117" s="384">
        <v>96</v>
      </c>
      <c r="AF117" s="384">
        <v>96</v>
      </c>
      <c r="AG117" s="384">
        <v>96</v>
      </c>
      <c r="AH117" s="384">
        <v>96</v>
      </c>
      <c r="AI117" s="384">
        <v>100</v>
      </c>
      <c r="AJ117" s="384">
        <v>102</v>
      </c>
      <c r="AK117" s="384">
        <v>104</v>
      </c>
      <c r="AL117" s="384">
        <v>112</v>
      </c>
      <c r="AM117" s="384">
        <v>127</v>
      </c>
      <c r="AN117" s="384">
        <v>127</v>
      </c>
      <c r="BE117" s="380">
        <v>34</v>
      </c>
      <c r="BF117" s="384">
        <v>96</v>
      </c>
      <c r="BG117" s="384">
        <v>96</v>
      </c>
      <c r="BH117" s="384">
        <v>96</v>
      </c>
      <c r="BI117" s="384">
        <v>96</v>
      </c>
      <c r="BJ117" s="384">
        <v>96</v>
      </c>
      <c r="BK117" s="384">
        <v>100</v>
      </c>
      <c r="BL117" s="384">
        <v>102</v>
      </c>
      <c r="BM117" s="384">
        <v>104</v>
      </c>
      <c r="BN117" s="384">
        <v>112</v>
      </c>
      <c r="BO117" s="384">
        <v>130</v>
      </c>
      <c r="BP117" s="384">
        <v>130</v>
      </c>
      <c r="CG117" s="380">
        <v>34</v>
      </c>
      <c r="CH117" s="391">
        <v>100</v>
      </c>
      <c r="CI117" s="391">
        <v>100</v>
      </c>
      <c r="CJ117" s="391">
        <v>100</v>
      </c>
      <c r="CK117" s="391">
        <v>100</v>
      </c>
      <c r="CL117" s="391">
        <v>100</v>
      </c>
      <c r="CM117" s="384">
        <v>104</v>
      </c>
      <c r="CN117" s="384">
        <v>104</v>
      </c>
      <c r="CO117" s="391">
        <v>108</v>
      </c>
      <c r="CP117" s="391">
        <v>116</v>
      </c>
      <c r="CQ117" s="384">
        <v>134</v>
      </c>
      <c r="CR117" s="384">
        <v>134</v>
      </c>
      <c r="DI117" s="380">
        <v>34</v>
      </c>
      <c r="DJ117" s="384">
        <v>100</v>
      </c>
      <c r="DK117" s="384">
        <v>100</v>
      </c>
      <c r="DL117" s="384">
        <v>100</v>
      </c>
      <c r="DM117" s="384">
        <v>100</v>
      </c>
      <c r="DN117" s="384">
        <v>100</v>
      </c>
      <c r="DO117" s="384">
        <v>104</v>
      </c>
      <c r="DP117" s="384">
        <v>108</v>
      </c>
      <c r="DQ117" s="384">
        <v>112</v>
      </c>
      <c r="DR117" s="384">
        <v>116</v>
      </c>
      <c r="DS117" s="384">
        <v>137</v>
      </c>
      <c r="DT117" s="384">
        <v>137</v>
      </c>
    </row>
    <row r="118" spans="1:130" x14ac:dyDescent="0.15">
      <c r="A118" s="380">
        <v>35</v>
      </c>
      <c r="B118" s="384">
        <v>96</v>
      </c>
      <c r="C118" s="384">
        <v>96</v>
      </c>
      <c r="D118" s="384">
        <v>96</v>
      </c>
      <c r="E118" s="384">
        <v>96</v>
      </c>
      <c r="F118" s="384">
        <v>96</v>
      </c>
      <c r="G118" s="384">
        <v>100</v>
      </c>
      <c r="H118" s="384">
        <v>102</v>
      </c>
      <c r="I118" s="384">
        <v>104</v>
      </c>
      <c r="J118" s="384">
        <v>108</v>
      </c>
      <c r="K118" s="384">
        <v>129</v>
      </c>
      <c r="L118" s="384">
        <v>129</v>
      </c>
      <c r="AC118" s="380">
        <v>35</v>
      </c>
      <c r="AD118" s="384">
        <v>100</v>
      </c>
      <c r="AE118" s="384">
        <v>100</v>
      </c>
      <c r="AF118" s="384">
        <v>100</v>
      </c>
      <c r="AG118" s="384">
        <v>100</v>
      </c>
      <c r="AH118" s="384">
        <v>100</v>
      </c>
      <c r="AI118" s="384">
        <v>102</v>
      </c>
      <c r="AJ118" s="384">
        <v>104</v>
      </c>
      <c r="AK118" s="384">
        <v>108</v>
      </c>
      <c r="AL118" s="384">
        <v>116</v>
      </c>
      <c r="AM118" s="384">
        <v>131</v>
      </c>
      <c r="AN118" s="384">
        <v>131</v>
      </c>
      <c r="BE118" s="380">
        <v>35</v>
      </c>
      <c r="BF118" s="384">
        <v>100</v>
      </c>
      <c r="BG118" s="384">
        <v>100</v>
      </c>
      <c r="BH118" s="384">
        <v>100</v>
      </c>
      <c r="BI118" s="384">
        <v>100</v>
      </c>
      <c r="BJ118" s="384">
        <v>100</v>
      </c>
      <c r="BK118" s="384">
        <v>102</v>
      </c>
      <c r="BL118" s="384">
        <v>104</v>
      </c>
      <c r="BM118" s="384">
        <v>108</v>
      </c>
      <c r="BN118" s="384">
        <v>116</v>
      </c>
      <c r="BO118" s="384">
        <v>134</v>
      </c>
      <c r="BP118" s="384">
        <v>134</v>
      </c>
      <c r="CG118" s="380">
        <v>35</v>
      </c>
      <c r="CH118" s="391">
        <v>100</v>
      </c>
      <c r="CI118" s="391">
        <v>100</v>
      </c>
      <c r="CJ118" s="391">
        <v>100</v>
      </c>
      <c r="CK118" s="391">
        <v>100</v>
      </c>
      <c r="CL118" s="391">
        <v>100</v>
      </c>
      <c r="CM118" s="384">
        <v>104</v>
      </c>
      <c r="CN118" s="384">
        <v>104</v>
      </c>
      <c r="CO118" s="391">
        <v>108</v>
      </c>
      <c r="CP118" s="391">
        <v>116</v>
      </c>
      <c r="CQ118" s="384">
        <v>134</v>
      </c>
      <c r="CR118" s="384">
        <v>134</v>
      </c>
      <c r="DI118" s="380">
        <v>35</v>
      </c>
      <c r="DJ118" s="384">
        <v>100</v>
      </c>
      <c r="DK118" s="384">
        <v>100</v>
      </c>
      <c r="DL118" s="384">
        <v>100</v>
      </c>
      <c r="DM118" s="384">
        <v>100</v>
      </c>
      <c r="DN118" s="384">
        <v>100</v>
      </c>
      <c r="DO118" s="384">
        <v>104</v>
      </c>
      <c r="DP118" s="384">
        <v>108</v>
      </c>
      <c r="DQ118" s="384">
        <v>112</v>
      </c>
      <c r="DR118" s="384">
        <v>116</v>
      </c>
      <c r="DS118" s="384">
        <v>137</v>
      </c>
      <c r="DT118" s="384">
        <v>137</v>
      </c>
    </row>
    <row r="119" spans="1:130" x14ac:dyDescent="0.15">
      <c r="A119" s="381">
        <v>36</v>
      </c>
      <c r="B119" s="384">
        <v>100</v>
      </c>
      <c r="C119" s="384">
        <v>100</v>
      </c>
      <c r="D119" s="384">
        <v>100</v>
      </c>
      <c r="E119" s="384">
        <v>100</v>
      </c>
      <c r="F119" s="384">
        <v>100</v>
      </c>
      <c r="G119" s="384">
        <v>102</v>
      </c>
      <c r="H119" s="384">
        <v>104</v>
      </c>
      <c r="I119" s="384">
        <v>108</v>
      </c>
      <c r="J119" s="384">
        <v>112</v>
      </c>
      <c r="K119" s="384">
        <v>132</v>
      </c>
      <c r="L119" s="384">
        <v>132</v>
      </c>
      <c r="AC119" s="381">
        <v>36</v>
      </c>
      <c r="AD119" s="384">
        <v>100</v>
      </c>
      <c r="AE119" s="384">
        <v>100</v>
      </c>
      <c r="AF119" s="384">
        <v>100</v>
      </c>
      <c r="AG119" s="384">
        <v>100</v>
      </c>
      <c r="AH119" s="384">
        <v>100</v>
      </c>
      <c r="AI119" s="384">
        <v>102</v>
      </c>
      <c r="AJ119" s="384">
        <v>104</v>
      </c>
      <c r="AK119" s="384">
        <v>108</v>
      </c>
      <c r="AL119" s="384">
        <v>116</v>
      </c>
      <c r="AM119" s="384">
        <v>131</v>
      </c>
      <c r="AN119" s="384">
        <v>131</v>
      </c>
      <c r="BE119" s="381">
        <v>36</v>
      </c>
      <c r="BF119" s="384">
        <v>100</v>
      </c>
      <c r="BG119" s="384">
        <v>100</v>
      </c>
      <c r="BH119" s="384">
        <v>100</v>
      </c>
      <c r="BI119" s="384">
        <v>100</v>
      </c>
      <c r="BJ119" s="384">
        <v>100</v>
      </c>
      <c r="BK119" s="384">
        <v>102</v>
      </c>
      <c r="BL119" s="384">
        <v>104</v>
      </c>
      <c r="BM119" s="384">
        <v>108</v>
      </c>
      <c r="BN119" s="384">
        <v>116</v>
      </c>
      <c r="BO119" s="384">
        <v>134</v>
      </c>
      <c r="BP119" s="384">
        <v>134</v>
      </c>
      <c r="CG119" s="388">
        <v>36</v>
      </c>
      <c r="CH119" s="391">
        <v>100</v>
      </c>
      <c r="CI119" s="391">
        <v>100</v>
      </c>
      <c r="CJ119" s="391">
        <v>100</v>
      </c>
      <c r="CK119" s="391">
        <v>100</v>
      </c>
      <c r="CL119" s="391">
        <v>100</v>
      </c>
      <c r="CM119" s="392">
        <v>104</v>
      </c>
      <c r="CN119" s="392">
        <v>104</v>
      </c>
      <c r="CO119" s="391">
        <v>108</v>
      </c>
      <c r="CP119" s="391">
        <v>116</v>
      </c>
      <c r="CQ119" s="392">
        <v>134</v>
      </c>
      <c r="CR119" s="392">
        <v>134</v>
      </c>
      <c r="DI119" s="381">
        <v>36</v>
      </c>
      <c r="DJ119" s="384">
        <v>100</v>
      </c>
      <c r="DK119" s="384">
        <v>100</v>
      </c>
      <c r="DL119" s="384">
        <v>100</v>
      </c>
      <c r="DM119" s="384">
        <v>100</v>
      </c>
      <c r="DN119" s="384">
        <v>100</v>
      </c>
      <c r="DO119" s="384">
        <v>104</v>
      </c>
      <c r="DP119" s="384">
        <v>108</v>
      </c>
      <c r="DQ119" s="384">
        <v>112</v>
      </c>
      <c r="DR119" s="384">
        <v>116</v>
      </c>
      <c r="DS119" s="384">
        <v>137</v>
      </c>
      <c r="DT119" s="384">
        <v>137</v>
      </c>
    </row>
    <row r="121" spans="1:130" x14ac:dyDescent="0.15">
      <c r="A121" s="377" t="s">
        <v>415</v>
      </c>
      <c r="B121" s="377">
        <f>'Standard Tests'!$B$15</f>
        <v>16</v>
      </c>
      <c r="E121" s="377" t="s">
        <v>439</v>
      </c>
      <c r="F121" s="377">
        <f>INDEX(B83:L119,MATCH(B121,A83:A119,0),MATCH(B122,B82:L82,0))</f>
        <v>60</v>
      </c>
      <c r="AC121" s="377" t="s">
        <v>415</v>
      </c>
      <c r="AD121" s="377">
        <f>'Standard Tests'!$B$15</f>
        <v>16</v>
      </c>
      <c r="AG121" s="377" t="s">
        <v>439</v>
      </c>
      <c r="AH121" s="377">
        <f>INDEX(AD83:AN119,MATCH(AD121,AC83:AC119,0),MATCH(AD122,AD82:AN82,0))</f>
        <v>60</v>
      </c>
      <c r="BE121" s="377" t="s">
        <v>415</v>
      </c>
      <c r="BF121" s="377">
        <f>'Standard Tests'!$B$15</f>
        <v>16</v>
      </c>
      <c r="BI121" s="377" t="s">
        <v>439</v>
      </c>
      <c r="BJ121" s="377">
        <f>INDEX(BF83:BP119,MATCH(BF121,BE83:BE119,0),MATCH(BF122,BF82:BP82,0))</f>
        <v>60</v>
      </c>
      <c r="CG121" s="377" t="s">
        <v>415</v>
      </c>
      <c r="CH121" s="377">
        <f>'Standard Tests'!$B$15</f>
        <v>16</v>
      </c>
      <c r="CK121" s="377" t="s">
        <v>439</v>
      </c>
      <c r="CL121" s="377">
        <f>INDEX(CH83:CR119,MATCH(CH121,CG83:CG119,0),MATCH(CH122,CH82:CR82,0))</f>
        <v>60</v>
      </c>
      <c r="DI121" s="377" t="s">
        <v>415</v>
      </c>
      <c r="DJ121" s="377">
        <f>'Standard Tests'!$B$15</f>
        <v>16</v>
      </c>
      <c r="DM121" s="377" t="s">
        <v>439</v>
      </c>
      <c r="DN121" s="377">
        <f>INDEX(DJ83:DT119,MATCH(DJ121,DI83:DI119,0),MATCH(DJ122,DJ82:DT82,0))</f>
        <v>68</v>
      </c>
    </row>
    <row r="122" spans="1:130" x14ac:dyDescent="0.15">
      <c r="A122" s="377" t="s">
        <v>420</v>
      </c>
      <c r="B122" s="377">
        <f>'Standard Tests'!$B$14</f>
        <v>0</v>
      </c>
      <c r="AC122" s="377" t="s">
        <v>420</v>
      </c>
      <c r="AD122" s="377">
        <f>'Standard Tests'!$B$14</f>
        <v>0</v>
      </c>
      <c r="BE122" s="377" t="s">
        <v>420</v>
      </c>
      <c r="BF122" s="377">
        <f>'Standard Tests'!$B$14</f>
        <v>0</v>
      </c>
      <c r="CG122" s="377" t="s">
        <v>420</v>
      </c>
      <c r="CH122" s="377">
        <f>'Standard Tests'!$B$14</f>
        <v>0</v>
      </c>
      <c r="DI122" s="377" t="s">
        <v>420</v>
      </c>
      <c r="DJ122" s="377">
        <f>'Standard Tests'!$B$14</f>
        <v>0</v>
      </c>
    </row>
    <row r="124" spans="1:130" x14ac:dyDescent="0.15">
      <c r="B124" s="376" t="s">
        <v>416</v>
      </c>
      <c r="AD124" s="376" t="s">
        <v>416</v>
      </c>
      <c r="AE124" s="376"/>
      <c r="AF124" s="376"/>
      <c r="AG124" s="376"/>
      <c r="AH124" s="376"/>
      <c r="AI124" s="376"/>
      <c r="AJ124" s="376"/>
      <c r="AK124" s="376"/>
      <c r="AL124" s="376"/>
      <c r="AM124" s="376"/>
      <c r="AN124" s="376"/>
      <c r="AO124" s="376"/>
      <c r="AP124" s="376"/>
      <c r="AQ124" s="376"/>
      <c r="AR124" s="376"/>
      <c r="AS124" s="376"/>
      <c r="AT124" s="376"/>
      <c r="BF124" s="376" t="s">
        <v>416</v>
      </c>
      <c r="CH124" s="376" t="s">
        <v>416</v>
      </c>
      <c r="DJ124" s="376" t="s">
        <v>416</v>
      </c>
    </row>
    <row r="125" spans="1:130" x14ac:dyDescent="0.15">
      <c r="A125" s="388" t="s">
        <v>417</v>
      </c>
      <c r="B125" s="390">
        <v>0</v>
      </c>
      <c r="C125" s="390">
        <v>1</v>
      </c>
      <c r="D125" s="390">
        <v>2</v>
      </c>
      <c r="E125" s="389">
        <v>3</v>
      </c>
      <c r="F125" s="389">
        <v>4</v>
      </c>
      <c r="G125" s="389">
        <v>5</v>
      </c>
      <c r="H125" s="390">
        <v>6</v>
      </c>
      <c r="I125" s="389">
        <v>7</v>
      </c>
      <c r="J125" s="390">
        <v>8</v>
      </c>
      <c r="K125" s="389">
        <v>9</v>
      </c>
      <c r="L125" s="390">
        <v>10</v>
      </c>
      <c r="M125" s="390">
        <v>11</v>
      </c>
      <c r="N125" s="390">
        <v>12</v>
      </c>
      <c r="O125" s="389">
        <v>13</v>
      </c>
      <c r="P125" s="389">
        <v>14</v>
      </c>
      <c r="Q125" s="389">
        <v>15</v>
      </c>
      <c r="R125" s="390">
        <v>16</v>
      </c>
      <c r="AC125" s="381" t="s">
        <v>417</v>
      </c>
      <c r="AD125" s="380">
        <v>0</v>
      </c>
      <c r="AE125" s="380">
        <v>1</v>
      </c>
      <c r="AF125" s="380">
        <v>2</v>
      </c>
      <c r="AG125" s="380">
        <v>3</v>
      </c>
      <c r="AH125" s="380">
        <v>4</v>
      </c>
      <c r="AI125" s="380">
        <v>5</v>
      </c>
      <c r="AJ125" s="380">
        <v>6</v>
      </c>
      <c r="AK125" s="380">
        <v>7</v>
      </c>
      <c r="AL125" s="380">
        <v>8</v>
      </c>
      <c r="AM125" s="380">
        <v>9</v>
      </c>
      <c r="AN125" s="380">
        <v>10</v>
      </c>
      <c r="AO125" s="380">
        <v>11</v>
      </c>
      <c r="AP125" s="380">
        <v>12</v>
      </c>
      <c r="AQ125" s="380">
        <v>13</v>
      </c>
      <c r="AR125" s="380">
        <v>14</v>
      </c>
      <c r="AS125" s="380">
        <v>15</v>
      </c>
      <c r="AT125" s="380">
        <v>16</v>
      </c>
      <c r="BE125" s="381" t="s">
        <v>417</v>
      </c>
      <c r="BF125" s="380">
        <v>0</v>
      </c>
      <c r="BG125" s="380">
        <v>1</v>
      </c>
      <c r="BH125" s="380">
        <v>2</v>
      </c>
      <c r="BI125" s="380">
        <v>3</v>
      </c>
      <c r="BJ125" s="380">
        <v>4</v>
      </c>
      <c r="BK125" s="380">
        <v>5</v>
      </c>
      <c r="BL125" s="380">
        <v>6</v>
      </c>
      <c r="BM125" s="380">
        <v>7</v>
      </c>
      <c r="BN125" s="380">
        <v>8</v>
      </c>
      <c r="BO125" s="380">
        <v>9</v>
      </c>
      <c r="BP125" s="380">
        <v>10</v>
      </c>
      <c r="BQ125" s="380">
        <v>11</v>
      </c>
      <c r="BR125" s="380">
        <v>12</v>
      </c>
      <c r="BS125" s="380">
        <v>13</v>
      </c>
      <c r="BT125" s="380">
        <v>14</v>
      </c>
      <c r="BU125" s="380">
        <v>15</v>
      </c>
      <c r="BV125" s="380">
        <v>16</v>
      </c>
      <c r="CG125" s="381" t="s">
        <v>417</v>
      </c>
      <c r="CH125" s="380">
        <v>0</v>
      </c>
      <c r="CI125" s="380">
        <v>1</v>
      </c>
      <c r="CJ125" s="380">
        <v>2</v>
      </c>
      <c r="CK125" s="380">
        <v>3</v>
      </c>
      <c r="CL125" s="380">
        <v>4</v>
      </c>
      <c r="CM125" s="380">
        <v>5</v>
      </c>
      <c r="CN125" s="380">
        <v>6</v>
      </c>
      <c r="CO125" s="380">
        <v>7</v>
      </c>
      <c r="CP125" s="380">
        <v>8</v>
      </c>
      <c r="CQ125" s="380">
        <v>9</v>
      </c>
      <c r="CR125" s="380">
        <v>10</v>
      </c>
      <c r="CS125" s="380">
        <v>11</v>
      </c>
      <c r="CT125" s="380">
        <v>12</v>
      </c>
      <c r="CU125" s="380">
        <v>13</v>
      </c>
      <c r="CV125" s="380">
        <v>14</v>
      </c>
      <c r="CW125" s="380">
        <v>15</v>
      </c>
      <c r="CX125" s="380">
        <v>16</v>
      </c>
      <c r="DI125" s="381" t="s">
        <v>417</v>
      </c>
      <c r="DJ125" s="380">
        <v>0</v>
      </c>
      <c r="DK125" s="380">
        <v>1</v>
      </c>
      <c r="DL125" s="380">
        <v>2</v>
      </c>
      <c r="DM125" s="380">
        <v>3</v>
      </c>
      <c r="DN125" s="380">
        <v>4</v>
      </c>
      <c r="DO125" s="380">
        <v>5</v>
      </c>
      <c r="DP125" s="380">
        <v>6</v>
      </c>
      <c r="DQ125" s="380">
        <v>7</v>
      </c>
      <c r="DR125" s="380">
        <v>8</v>
      </c>
      <c r="DS125" s="380">
        <v>9</v>
      </c>
      <c r="DT125" s="380">
        <v>10</v>
      </c>
      <c r="DU125" s="380">
        <v>11</v>
      </c>
      <c r="DV125" s="380">
        <v>12</v>
      </c>
      <c r="DW125" s="380">
        <v>13</v>
      </c>
      <c r="DX125" s="380">
        <v>14</v>
      </c>
      <c r="DY125" s="380">
        <v>15</v>
      </c>
      <c r="DZ125" s="380">
        <v>16</v>
      </c>
    </row>
    <row r="126" spans="1:130" x14ac:dyDescent="0.15">
      <c r="A126" s="390">
        <v>0</v>
      </c>
      <c r="B126" s="391">
        <v>40</v>
      </c>
      <c r="C126" s="391">
        <v>40</v>
      </c>
      <c r="D126" s="391">
        <v>40</v>
      </c>
      <c r="E126" s="391">
        <v>40</v>
      </c>
      <c r="F126" s="391">
        <v>40</v>
      </c>
      <c r="G126" s="391">
        <v>43</v>
      </c>
      <c r="H126" s="391">
        <v>46</v>
      </c>
      <c r="I126" s="391">
        <v>53</v>
      </c>
      <c r="J126" s="391">
        <v>56</v>
      </c>
      <c r="K126" s="391">
        <v>64</v>
      </c>
      <c r="L126" s="391">
        <v>68</v>
      </c>
      <c r="M126" s="391">
        <v>75</v>
      </c>
      <c r="N126" s="391">
        <v>79</v>
      </c>
      <c r="O126" s="391">
        <v>82</v>
      </c>
      <c r="P126" s="391">
        <v>85</v>
      </c>
      <c r="Q126" s="391">
        <v>88</v>
      </c>
      <c r="R126" s="391">
        <v>91</v>
      </c>
      <c r="AC126" s="380">
        <v>0</v>
      </c>
      <c r="AD126" s="384">
        <v>40</v>
      </c>
      <c r="AE126" s="384">
        <v>40</v>
      </c>
      <c r="AF126" s="384">
        <v>40</v>
      </c>
      <c r="AG126" s="384">
        <v>40</v>
      </c>
      <c r="AH126" s="384">
        <v>43</v>
      </c>
      <c r="AI126" s="384">
        <v>46</v>
      </c>
      <c r="AJ126" s="384">
        <v>49</v>
      </c>
      <c r="AK126" s="384">
        <v>53</v>
      </c>
      <c r="AL126" s="384">
        <v>56</v>
      </c>
      <c r="AM126" s="384">
        <v>64</v>
      </c>
      <c r="AN126" s="384">
        <v>72</v>
      </c>
      <c r="AO126" s="384">
        <v>75</v>
      </c>
      <c r="AP126" s="384">
        <v>79</v>
      </c>
      <c r="AQ126" s="384">
        <v>82</v>
      </c>
      <c r="AR126" s="384">
        <v>85</v>
      </c>
      <c r="AS126" s="384">
        <v>88</v>
      </c>
      <c r="AT126" s="384">
        <v>91</v>
      </c>
      <c r="BE126" s="380">
        <v>0</v>
      </c>
      <c r="BF126" s="384">
        <v>40</v>
      </c>
      <c r="BG126" s="384">
        <v>40</v>
      </c>
      <c r="BH126" s="384">
        <v>40</v>
      </c>
      <c r="BI126" s="384">
        <v>40</v>
      </c>
      <c r="BJ126" s="384">
        <v>43</v>
      </c>
      <c r="BK126" s="384">
        <v>46</v>
      </c>
      <c r="BL126" s="384">
        <v>49</v>
      </c>
      <c r="BM126" s="384">
        <v>53</v>
      </c>
      <c r="BN126" s="384">
        <v>60</v>
      </c>
      <c r="BO126" s="384">
        <v>64</v>
      </c>
      <c r="BP126" s="384">
        <v>72</v>
      </c>
      <c r="BQ126" s="384">
        <v>75</v>
      </c>
      <c r="BR126" s="384">
        <v>79</v>
      </c>
      <c r="BS126" s="384">
        <v>85</v>
      </c>
      <c r="BT126" s="384">
        <v>88</v>
      </c>
      <c r="BU126" s="384">
        <v>91</v>
      </c>
      <c r="BV126" s="384">
        <v>91</v>
      </c>
      <c r="CG126" s="380">
        <v>0</v>
      </c>
      <c r="CH126" s="384">
        <v>40</v>
      </c>
      <c r="CI126" s="384">
        <v>40</v>
      </c>
      <c r="CJ126" s="384">
        <v>40</v>
      </c>
      <c r="CK126" s="384">
        <v>43</v>
      </c>
      <c r="CL126" s="384">
        <v>46</v>
      </c>
      <c r="CM126" s="384">
        <v>49</v>
      </c>
      <c r="CN126" s="384">
        <v>49</v>
      </c>
      <c r="CO126" s="384">
        <v>53</v>
      </c>
      <c r="CP126" s="384">
        <v>60</v>
      </c>
      <c r="CQ126" s="384">
        <v>64</v>
      </c>
      <c r="CR126" s="384">
        <v>72</v>
      </c>
      <c r="CS126" s="384">
        <v>75</v>
      </c>
      <c r="CT126" s="384">
        <v>79</v>
      </c>
      <c r="CU126" s="384">
        <v>85</v>
      </c>
      <c r="CV126" s="384">
        <v>88</v>
      </c>
      <c r="CW126" s="384">
        <v>91</v>
      </c>
      <c r="CX126" s="384">
        <v>91</v>
      </c>
      <c r="DI126" s="380">
        <v>0</v>
      </c>
      <c r="DJ126" s="384">
        <v>40</v>
      </c>
      <c r="DK126" s="384">
        <v>40</v>
      </c>
      <c r="DL126" s="384">
        <v>40</v>
      </c>
      <c r="DM126" s="384">
        <v>43</v>
      </c>
      <c r="DN126" s="384">
        <v>46</v>
      </c>
      <c r="DO126" s="384">
        <v>49</v>
      </c>
      <c r="DP126" s="384">
        <v>53</v>
      </c>
      <c r="DQ126" s="384">
        <v>56</v>
      </c>
      <c r="DR126" s="384">
        <v>68</v>
      </c>
      <c r="DS126" s="384">
        <v>72</v>
      </c>
      <c r="DT126" s="384">
        <v>79</v>
      </c>
      <c r="DU126" s="384">
        <v>82</v>
      </c>
      <c r="DV126" s="384">
        <v>85</v>
      </c>
      <c r="DW126" s="384">
        <v>88</v>
      </c>
      <c r="DX126" s="384">
        <v>88</v>
      </c>
      <c r="DY126" s="384">
        <v>91</v>
      </c>
      <c r="DZ126" s="384">
        <v>94</v>
      </c>
    </row>
    <row r="127" spans="1:130" x14ac:dyDescent="0.15">
      <c r="A127" s="390">
        <v>1</v>
      </c>
      <c r="B127" s="391">
        <v>40</v>
      </c>
      <c r="C127" s="391">
        <v>40</v>
      </c>
      <c r="D127" s="391">
        <v>40</v>
      </c>
      <c r="E127" s="391">
        <v>40</v>
      </c>
      <c r="F127" s="391">
        <v>40</v>
      </c>
      <c r="G127" s="391">
        <v>43</v>
      </c>
      <c r="H127" s="391">
        <v>46</v>
      </c>
      <c r="I127" s="391">
        <v>53</v>
      </c>
      <c r="J127" s="391">
        <v>56</v>
      </c>
      <c r="K127" s="391">
        <v>64</v>
      </c>
      <c r="L127" s="391">
        <v>68</v>
      </c>
      <c r="M127" s="391">
        <v>75</v>
      </c>
      <c r="N127" s="391">
        <v>79</v>
      </c>
      <c r="O127" s="391">
        <v>82</v>
      </c>
      <c r="P127" s="391">
        <v>85</v>
      </c>
      <c r="Q127" s="391">
        <v>88</v>
      </c>
      <c r="R127" s="391">
        <v>91</v>
      </c>
      <c r="AC127" s="380">
        <v>1</v>
      </c>
      <c r="AD127" s="384">
        <v>40</v>
      </c>
      <c r="AE127" s="384">
        <v>40</v>
      </c>
      <c r="AF127" s="384">
        <v>40</v>
      </c>
      <c r="AG127" s="384">
        <v>40</v>
      </c>
      <c r="AH127" s="384">
        <v>43</v>
      </c>
      <c r="AI127" s="384">
        <v>46</v>
      </c>
      <c r="AJ127" s="384">
        <v>49</v>
      </c>
      <c r="AK127" s="384">
        <v>53</v>
      </c>
      <c r="AL127" s="384">
        <v>56</v>
      </c>
      <c r="AM127" s="384">
        <v>64</v>
      </c>
      <c r="AN127" s="384">
        <v>72</v>
      </c>
      <c r="AO127" s="384">
        <v>75</v>
      </c>
      <c r="AP127" s="384">
        <v>79</v>
      </c>
      <c r="AQ127" s="384">
        <v>82</v>
      </c>
      <c r="AR127" s="384">
        <v>85</v>
      </c>
      <c r="AS127" s="384">
        <v>88</v>
      </c>
      <c r="AT127" s="384">
        <v>91</v>
      </c>
      <c r="BE127" s="380">
        <v>1</v>
      </c>
      <c r="BF127" s="384">
        <v>40</v>
      </c>
      <c r="BG127" s="384">
        <v>40</v>
      </c>
      <c r="BH127" s="384">
        <v>40</v>
      </c>
      <c r="BI127" s="384">
        <v>40</v>
      </c>
      <c r="BJ127" s="384">
        <v>43</v>
      </c>
      <c r="BK127" s="384">
        <v>46</v>
      </c>
      <c r="BL127" s="384">
        <v>49</v>
      </c>
      <c r="BM127" s="384">
        <v>53</v>
      </c>
      <c r="BN127" s="384">
        <v>60</v>
      </c>
      <c r="BO127" s="384">
        <v>64</v>
      </c>
      <c r="BP127" s="395" t="s">
        <v>435</v>
      </c>
      <c r="BQ127" s="384">
        <v>75</v>
      </c>
      <c r="BR127" s="384">
        <v>79</v>
      </c>
      <c r="BS127" s="384">
        <v>85</v>
      </c>
      <c r="BT127" s="384">
        <v>88</v>
      </c>
      <c r="BU127" s="384">
        <v>91</v>
      </c>
      <c r="BV127" s="384">
        <v>91</v>
      </c>
      <c r="CG127" s="380">
        <v>1</v>
      </c>
      <c r="CH127" s="384">
        <v>40</v>
      </c>
      <c r="CI127" s="384">
        <v>40</v>
      </c>
      <c r="CJ127" s="384">
        <v>40</v>
      </c>
      <c r="CK127" s="384">
        <v>43</v>
      </c>
      <c r="CL127" s="384">
        <v>46</v>
      </c>
      <c r="CM127" s="384">
        <v>49</v>
      </c>
      <c r="CN127" s="384">
        <v>49</v>
      </c>
      <c r="CO127" s="384">
        <v>53</v>
      </c>
      <c r="CP127" s="384">
        <v>60</v>
      </c>
      <c r="CQ127" s="384">
        <v>64</v>
      </c>
      <c r="CR127" s="384">
        <v>72</v>
      </c>
      <c r="CS127" s="384">
        <v>75</v>
      </c>
      <c r="CT127" s="384">
        <v>79</v>
      </c>
      <c r="CU127" s="384">
        <v>85</v>
      </c>
      <c r="CV127" s="384">
        <v>88</v>
      </c>
      <c r="CW127" s="384">
        <v>91</v>
      </c>
      <c r="CX127" s="384">
        <v>91</v>
      </c>
      <c r="DI127" s="380">
        <v>1</v>
      </c>
      <c r="DJ127" s="384">
        <v>40</v>
      </c>
      <c r="DK127" s="384">
        <v>40</v>
      </c>
      <c r="DL127" s="384">
        <v>40</v>
      </c>
      <c r="DM127" s="384">
        <v>43</v>
      </c>
      <c r="DN127" s="384">
        <v>46</v>
      </c>
      <c r="DO127" s="384">
        <v>49</v>
      </c>
      <c r="DP127" s="384">
        <v>53</v>
      </c>
      <c r="DQ127" s="384">
        <v>56</v>
      </c>
      <c r="DR127" s="384">
        <v>68</v>
      </c>
      <c r="DS127" s="384">
        <v>72</v>
      </c>
      <c r="DT127" s="384">
        <v>79</v>
      </c>
      <c r="DU127" s="384">
        <v>82</v>
      </c>
      <c r="DV127" s="384">
        <v>85</v>
      </c>
      <c r="DW127" s="384">
        <v>88</v>
      </c>
      <c r="DX127" s="384">
        <v>88</v>
      </c>
      <c r="DY127" s="384">
        <v>91</v>
      </c>
      <c r="DZ127" s="384">
        <v>94</v>
      </c>
    </row>
    <row r="128" spans="1:130" x14ac:dyDescent="0.15">
      <c r="A128" s="390">
        <v>2</v>
      </c>
      <c r="B128" s="391">
        <v>40</v>
      </c>
      <c r="C128" s="391">
        <v>40</v>
      </c>
      <c r="D128" s="391">
        <v>40</v>
      </c>
      <c r="E128" s="391">
        <v>40</v>
      </c>
      <c r="F128" s="391">
        <v>40</v>
      </c>
      <c r="G128" s="391">
        <v>43</v>
      </c>
      <c r="H128" s="391">
        <v>46</v>
      </c>
      <c r="I128" s="391">
        <v>53</v>
      </c>
      <c r="J128" s="391">
        <v>56</v>
      </c>
      <c r="K128" s="391">
        <v>64</v>
      </c>
      <c r="L128" s="391">
        <v>68</v>
      </c>
      <c r="M128" s="391">
        <v>75</v>
      </c>
      <c r="N128" s="391">
        <v>79</v>
      </c>
      <c r="O128" s="391">
        <v>82</v>
      </c>
      <c r="P128" s="391">
        <v>85</v>
      </c>
      <c r="Q128" s="391">
        <v>88</v>
      </c>
      <c r="R128" s="391">
        <v>91</v>
      </c>
      <c r="AC128" s="380">
        <v>2</v>
      </c>
      <c r="AD128" s="384">
        <v>40</v>
      </c>
      <c r="AE128" s="384">
        <v>40</v>
      </c>
      <c r="AF128" s="384">
        <v>40</v>
      </c>
      <c r="AG128" s="384">
        <v>40</v>
      </c>
      <c r="AH128" s="384">
        <v>43</v>
      </c>
      <c r="AI128" s="384">
        <v>46</v>
      </c>
      <c r="AJ128" s="384">
        <v>49</v>
      </c>
      <c r="AK128" s="384">
        <v>53</v>
      </c>
      <c r="AL128" s="384">
        <v>56</v>
      </c>
      <c r="AM128" s="384">
        <v>64</v>
      </c>
      <c r="AN128" s="384">
        <v>72</v>
      </c>
      <c r="AO128" s="384">
        <v>75</v>
      </c>
      <c r="AP128" s="384">
        <v>79</v>
      </c>
      <c r="AQ128" s="384">
        <v>82</v>
      </c>
      <c r="AR128" s="384">
        <v>85</v>
      </c>
      <c r="AS128" s="384">
        <v>88</v>
      </c>
      <c r="AT128" s="384">
        <v>91</v>
      </c>
      <c r="BE128" s="380">
        <v>2</v>
      </c>
      <c r="BF128" s="384">
        <v>40</v>
      </c>
      <c r="BG128" s="384">
        <v>40</v>
      </c>
      <c r="BH128" s="384">
        <v>40</v>
      </c>
      <c r="BI128" s="384">
        <v>40</v>
      </c>
      <c r="BJ128" s="384">
        <v>43</v>
      </c>
      <c r="BK128" s="384">
        <v>46</v>
      </c>
      <c r="BL128" s="384">
        <v>49</v>
      </c>
      <c r="BM128" s="384">
        <v>53</v>
      </c>
      <c r="BN128" s="384">
        <v>60</v>
      </c>
      <c r="BO128" s="384">
        <v>64</v>
      </c>
      <c r="BP128" s="384">
        <v>72</v>
      </c>
      <c r="BQ128" s="384">
        <v>75</v>
      </c>
      <c r="BR128" s="384">
        <v>79</v>
      </c>
      <c r="BS128" s="384">
        <v>85</v>
      </c>
      <c r="BT128" s="384">
        <v>88</v>
      </c>
      <c r="BU128" s="384">
        <v>91</v>
      </c>
      <c r="BV128" s="384">
        <v>91</v>
      </c>
      <c r="CG128" s="380">
        <v>2</v>
      </c>
      <c r="CH128" s="384">
        <v>40</v>
      </c>
      <c r="CI128" s="384">
        <v>40</v>
      </c>
      <c r="CJ128" s="384">
        <v>40</v>
      </c>
      <c r="CK128" s="384">
        <v>43</v>
      </c>
      <c r="CL128" s="384">
        <v>46</v>
      </c>
      <c r="CM128" s="384">
        <v>49</v>
      </c>
      <c r="CN128" s="384">
        <v>49</v>
      </c>
      <c r="CO128" s="384">
        <v>53</v>
      </c>
      <c r="CP128" s="384">
        <v>60</v>
      </c>
      <c r="CQ128" s="384">
        <v>64</v>
      </c>
      <c r="CR128" s="384">
        <v>72</v>
      </c>
      <c r="CS128" s="384">
        <v>75</v>
      </c>
      <c r="CT128" s="384">
        <v>79</v>
      </c>
      <c r="CU128" s="384">
        <v>85</v>
      </c>
      <c r="CV128" s="384">
        <v>88</v>
      </c>
      <c r="CW128" s="384">
        <v>91</v>
      </c>
      <c r="CX128" s="384">
        <v>91</v>
      </c>
      <c r="DI128" s="380">
        <v>2</v>
      </c>
      <c r="DJ128" s="384">
        <v>40</v>
      </c>
      <c r="DK128" s="384">
        <v>40</v>
      </c>
      <c r="DL128" s="384">
        <v>40</v>
      </c>
      <c r="DM128" s="384">
        <v>43</v>
      </c>
      <c r="DN128" s="384">
        <v>46</v>
      </c>
      <c r="DO128" s="384">
        <v>49</v>
      </c>
      <c r="DP128" s="384">
        <v>53</v>
      </c>
      <c r="DQ128" s="384">
        <v>56</v>
      </c>
      <c r="DR128" s="384">
        <v>68</v>
      </c>
      <c r="DS128" s="384">
        <v>72</v>
      </c>
      <c r="DT128" s="384">
        <v>79</v>
      </c>
      <c r="DU128" s="384">
        <v>82</v>
      </c>
      <c r="DV128" s="384">
        <v>85</v>
      </c>
      <c r="DW128" s="384">
        <v>88</v>
      </c>
      <c r="DX128" s="384">
        <v>88</v>
      </c>
      <c r="DY128" s="384">
        <v>91</v>
      </c>
      <c r="DZ128" s="384">
        <v>94</v>
      </c>
    </row>
    <row r="129" spans="1:130" x14ac:dyDescent="0.15">
      <c r="A129" s="390">
        <v>3</v>
      </c>
      <c r="B129" s="391">
        <v>40</v>
      </c>
      <c r="C129" s="391">
        <v>40</v>
      </c>
      <c r="D129" s="391">
        <v>40</v>
      </c>
      <c r="E129" s="391">
        <v>40</v>
      </c>
      <c r="F129" s="391">
        <v>40</v>
      </c>
      <c r="G129" s="391">
        <v>43</v>
      </c>
      <c r="H129" s="391">
        <v>46</v>
      </c>
      <c r="I129" s="391">
        <v>53</v>
      </c>
      <c r="J129" s="391">
        <v>56</v>
      </c>
      <c r="K129" s="391">
        <v>64</v>
      </c>
      <c r="L129" s="391">
        <v>68</v>
      </c>
      <c r="M129" s="391">
        <v>75</v>
      </c>
      <c r="N129" s="391">
        <v>79</v>
      </c>
      <c r="O129" s="391">
        <v>82</v>
      </c>
      <c r="P129" s="391">
        <v>85</v>
      </c>
      <c r="Q129" s="391">
        <v>88</v>
      </c>
      <c r="R129" s="391">
        <v>91</v>
      </c>
      <c r="AC129" s="380">
        <v>3</v>
      </c>
      <c r="AD129" s="384">
        <v>40</v>
      </c>
      <c r="AE129" s="384">
        <v>40</v>
      </c>
      <c r="AF129" s="384">
        <v>40</v>
      </c>
      <c r="AG129" s="384">
        <v>40</v>
      </c>
      <c r="AH129" s="384">
        <v>43</v>
      </c>
      <c r="AI129" s="384">
        <v>46</v>
      </c>
      <c r="AJ129" s="384">
        <v>49</v>
      </c>
      <c r="AK129" s="384">
        <v>53</v>
      </c>
      <c r="AL129" s="384">
        <v>56</v>
      </c>
      <c r="AM129" s="384">
        <v>64</v>
      </c>
      <c r="AN129" s="384">
        <v>72</v>
      </c>
      <c r="AO129" s="384">
        <v>75</v>
      </c>
      <c r="AP129" s="384">
        <v>79</v>
      </c>
      <c r="AQ129" s="384">
        <v>82</v>
      </c>
      <c r="AR129" s="384">
        <v>85</v>
      </c>
      <c r="AS129" s="384">
        <v>88</v>
      </c>
      <c r="AT129" s="384">
        <v>91</v>
      </c>
      <c r="BE129" s="380">
        <v>3</v>
      </c>
      <c r="BF129" s="384">
        <v>40</v>
      </c>
      <c r="BG129" s="384">
        <v>40</v>
      </c>
      <c r="BH129" s="384">
        <v>40</v>
      </c>
      <c r="BI129" s="384">
        <v>40</v>
      </c>
      <c r="BJ129" s="384">
        <v>43</v>
      </c>
      <c r="BK129" s="384">
        <v>46</v>
      </c>
      <c r="BL129" s="384">
        <v>49</v>
      </c>
      <c r="BM129" s="384">
        <v>53</v>
      </c>
      <c r="BN129" s="384">
        <v>60</v>
      </c>
      <c r="BO129" s="384">
        <v>64</v>
      </c>
      <c r="BP129" s="384">
        <v>72</v>
      </c>
      <c r="BQ129" s="384">
        <v>75</v>
      </c>
      <c r="BR129" s="384">
        <v>79</v>
      </c>
      <c r="BS129" s="384">
        <v>85</v>
      </c>
      <c r="BT129" s="384">
        <v>88</v>
      </c>
      <c r="BU129" s="384">
        <v>91</v>
      </c>
      <c r="BV129" s="384">
        <v>91</v>
      </c>
      <c r="CG129" s="380">
        <v>3</v>
      </c>
      <c r="CH129" s="384">
        <v>40</v>
      </c>
      <c r="CI129" s="384">
        <v>40</v>
      </c>
      <c r="CJ129" s="384">
        <v>40</v>
      </c>
      <c r="CK129" s="384">
        <v>43</v>
      </c>
      <c r="CL129" s="384">
        <v>46</v>
      </c>
      <c r="CM129" s="384">
        <v>49</v>
      </c>
      <c r="CN129" s="384">
        <v>49</v>
      </c>
      <c r="CO129" s="384">
        <v>53</v>
      </c>
      <c r="CP129" s="384">
        <v>60</v>
      </c>
      <c r="CQ129" s="384">
        <v>64</v>
      </c>
      <c r="CR129" s="384">
        <v>72</v>
      </c>
      <c r="CS129" s="384">
        <v>75</v>
      </c>
      <c r="CT129" s="384">
        <v>79</v>
      </c>
      <c r="CU129" s="384">
        <v>85</v>
      </c>
      <c r="CV129" s="384">
        <v>88</v>
      </c>
      <c r="CW129" s="384">
        <v>91</v>
      </c>
      <c r="CX129" s="384">
        <v>91</v>
      </c>
      <c r="DI129" s="380">
        <v>3</v>
      </c>
      <c r="DJ129" s="384">
        <v>40</v>
      </c>
      <c r="DK129" s="384">
        <v>40</v>
      </c>
      <c r="DL129" s="384">
        <v>40</v>
      </c>
      <c r="DM129" s="384">
        <v>43</v>
      </c>
      <c r="DN129" s="384">
        <v>46</v>
      </c>
      <c r="DO129" s="384">
        <v>49</v>
      </c>
      <c r="DP129" s="384">
        <v>53</v>
      </c>
      <c r="DQ129" s="384">
        <v>56</v>
      </c>
      <c r="DR129" s="384">
        <v>68</v>
      </c>
      <c r="DS129" s="384">
        <v>72</v>
      </c>
      <c r="DT129" s="384">
        <v>79</v>
      </c>
      <c r="DU129" s="384">
        <v>82</v>
      </c>
      <c r="DV129" s="384">
        <v>85</v>
      </c>
      <c r="DW129" s="384">
        <v>88</v>
      </c>
      <c r="DX129" s="384">
        <v>88</v>
      </c>
      <c r="DY129" s="384">
        <v>91</v>
      </c>
      <c r="DZ129" s="384">
        <v>94</v>
      </c>
    </row>
    <row r="130" spans="1:130" x14ac:dyDescent="0.15">
      <c r="A130" s="390">
        <v>4</v>
      </c>
      <c r="B130" s="391">
        <v>40</v>
      </c>
      <c r="C130" s="391">
        <v>40</v>
      </c>
      <c r="D130" s="391">
        <v>40</v>
      </c>
      <c r="E130" s="391">
        <v>40</v>
      </c>
      <c r="F130" s="391">
        <v>40</v>
      </c>
      <c r="G130" s="391">
        <v>43</v>
      </c>
      <c r="H130" s="391">
        <v>46</v>
      </c>
      <c r="I130" s="391">
        <v>53</v>
      </c>
      <c r="J130" s="391">
        <v>56</v>
      </c>
      <c r="K130" s="391">
        <v>64</v>
      </c>
      <c r="L130" s="391">
        <v>68</v>
      </c>
      <c r="M130" s="391">
        <v>75</v>
      </c>
      <c r="N130" s="391">
        <v>79</v>
      </c>
      <c r="O130" s="391">
        <v>82</v>
      </c>
      <c r="P130" s="391">
        <v>85</v>
      </c>
      <c r="Q130" s="391">
        <v>88</v>
      </c>
      <c r="R130" s="391">
        <v>91</v>
      </c>
      <c r="AC130" s="380">
        <v>4</v>
      </c>
      <c r="AD130" s="384">
        <v>40</v>
      </c>
      <c r="AE130" s="384">
        <v>40</v>
      </c>
      <c r="AF130" s="384">
        <v>40</v>
      </c>
      <c r="AG130" s="384">
        <v>40</v>
      </c>
      <c r="AH130" s="384">
        <v>43</v>
      </c>
      <c r="AI130" s="384">
        <v>46</v>
      </c>
      <c r="AJ130" s="384">
        <v>49</v>
      </c>
      <c r="AK130" s="384">
        <v>53</v>
      </c>
      <c r="AL130" s="384">
        <v>56</v>
      </c>
      <c r="AM130" s="384">
        <v>64</v>
      </c>
      <c r="AN130" s="384">
        <v>72</v>
      </c>
      <c r="AO130" s="384">
        <v>75</v>
      </c>
      <c r="AP130" s="384">
        <v>79</v>
      </c>
      <c r="AQ130" s="384">
        <v>82</v>
      </c>
      <c r="AR130" s="384">
        <v>85</v>
      </c>
      <c r="AS130" s="384">
        <v>88</v>
      </c>
      <c r="AT130" s="384">
        <v>91</v>
      </c>
      <c r="BE130" s="380">
        <v>4</v>
      </c>
      <c r="BF130" s="384">
        <v>40</v>
      </c>
      <c r="BG130" s="384">
        <v>40</v>
      </c>
      <c r="BH130" s="384">
        <v>40</v>
      </c>
      <c r="BI130" s="384">
        <v>40</v>
      </c>
      <c r="BJ130" s="384">
        <v>43</v>
      </c>
      <c r="BK130" s="384">
        <v>46</v>
      </c>
      <c r="BL130" s="384">
        <v>49</v>
      </c>
      <c r="BM130" s="384">
        <v>53</v>
      </c>
      <c r="BN130" s="384">
        <v>60</v>
      </c>
      <c r="BO130" s="384">
        <v>64</v>
      </c>
      <c r="BP130" s="384">
        <v>72</v>
      </c>
      <c r="BQ130" s="384">
        <v>75</v>
      </c>
      <c r="BR130" s="384">
        <v>79</v>
      </c>
      <c r="BS130" s="384">
        <v>85</v>
      </c>
      <c r="BT130" s="384">
        <v>88</v>
      </c>
      <c r="BU130" s="384">
        <v>91</v>
      </c>
      <c r="BV130" s="384">
        <v>91</v>
      </c>
      <c r="CG130" s="380">
        <v>4</v>
      </c>
      <c r="CH130" s="384">
        <v>40</v>
      </c>
      <c r="CI130" s="384">
        <v>40</v>
      </c>
      <c r="CJ130" s="384">
        <v>40</v>
      </c>
      <c r="CK130" s="384">
        <v>43</v>
      </c>
      <c r="CL130" s="384">
        <v>46</v>
      </c>
      <c r="CM130" s="384">
        <v>49</v>
      </c>
      <c r="CN130" s="384">
        <v>49</v>
      </c>
      <c r="CO130" s="384">
        <v>53</v>
      </c>
      <c r="CP130" s="384">
        <v>60</v>
      </c>
      <c r="CQ130" s="384">
        <v>64</v>
      </c>
      <c r="CR130" s="384">
        <v>72</v>
      </c>
      <c r="CS130" s="384">
        <v>75</v>
      </c>
      <c r="CT130" s="384">
        <v>79</v>
      </c>
      <c r="CU130" s="384">
        <v>85</v>
      </c>
      <c r="CV130" s="384">
        <v>88</v>
      </c>
      <c r="CW130" s="384">
        <v>91</v>
      </c>
      <c r="CX130" s="384">
        <v>91</v>
      </c>
      <c r="DI130" s="380">
        <v>4</v>
      </c>
      <c r="DJ130" s="384">
        <v>40</v>
      </c>
      <c r="DK130" s="384">
        <v>40</v>
      </c>
      <c r="DL130" s="384">
        <v>40</v>
      </c>
      <c r="DM130" s="384">
        <v>43</v>
      </c>
      <c r="DN130" s="384">
        <v>46</v>
      </c>
      <c r="DO130" s="384">
        <v>49</v>
      </c>
      <c r="DP130" s="384">
        <v>53</v>
      </c>
      <c r="DQ130" s="384">
        <v>56</v>
      </c>
      <c r="DR130" s="384">
        <v>68</v>
      </c>
      <c r="DS130" s="384">
        <v>72</v>
      </c>
      <c r="DT130" s="384">
        <v>79</v>
      </c>
      <c r="DU130" s="384">
        <v>82</v>
      </c>
      <c r="DV130" s="384">
        <v>85</v>
      </c>
      <c r="DW130" s="384">
        <v>88</v>
      </c>
      <c r="DX130" s="384">
        <v>88</v>
      </c>
      <c r="DY130" s="384">
        <v>91</v>
      </c>
      <c r="DZ130" s="384">
        <v>94</v>
      </c>
    </row>
    <row r="131" spans="1:130" x14ac:dyDescent="0.15">
      <c r="A131" s="390">
        <v>5</v>
      </c>
      <c r="B131" s="391">
        <v>40</v>
      </c>
      <c r="C131" s="391">
        <v>40</v>
      </c>
      <c r="D131" s="391">
        <v>40</v>
      </c>
      <c r="E131" s="391">
        <v>40</v>
      </c>
      <c r="F131" s="391">
        <v>40</v>
      </c>
      <c r="G131" s="391">
        <v>43</v>
      </c>
      <c r="H131" s="391">
        <v>46</v>
      </c>
      <c r="I131" s="396">
        <v>53</v>
      </c>
      <c r="J131" s="391">
        <v>56</v>
      </c>
      <c r="K131" s="391">
        <v>64</v>
      </c>
      <c r="L131" s="391">
        <v>68</v>
      </c>
      <c r="M131" s="396">
        <v>75</v>
      </c>
      <c r="N131" s="391">
        <v>79</v>
      </c>
      <c r="O131" s="391">
        <v>82</v>
      </c>
      <c r="P131" s="391">
        <v>85</v>
      </c>
      <c r="Q131" s="391">
        <v>88</v>
      </c>
      <c r="R131" s="391">
        <v>91</v>
      </c>
      <c r="AC131" s="380">
        <v>5</v>
      </c>
      <c r="AD131" s="384">
        <v>40</v>
      </c>
      <c r="AE131" s="384">
        <v>40</v>
      </c>
      <c r="AF131" s="384">
        <v>40</v>
      </c>
      <c r="AG131" s="384">
        <v>40</v>
      </c>
      <c r="AH131" s="384">
        <v>43</v>
      </c>
      <c r="AI131" s="384">
        <v>46</v>
      </c>
      <c r="AJ131" s="384">
        <v>49</v>
      </c>
      <c r="AK131" s="384">
        <v>53</v>
      </c>
      <c r="AL131" s="384">
        <v>56</v>
      </c>
      <c r="AM131" s="384">
        <v>64</v>
      </c>
      <c r="AN131" s="384">
        <v>72</v>
      </c>
      <c r="AO131" s="384">
        <v>75</v>
      </c>
      <c r="AP131" s="384">
        <v>79</v>
      </c>
      <c r="AQ131" s="384">
        <v>82</v>
      </c>
      <c r="AR131" s="384">
        <v>85</v>
      </c>
      <c r="AS131" s="384">
        <v>88</v>
      </c>
      <c r="AT131" s="384">
        <v>91</v>
      </c>
      <c r="BE131" s="380">
        <v>5</v>
      </c>
      <c r="BF131" s="384">
        <v>40</v>
      </c>
      <c r="BG131" s="384">
        <v>40</v>
      </c>
      <c r="BH131" s="384">
        <v>40</v>
      </c>
      <c r="BI131" s="384">
        <v>40</v>
      </c>
      <c r="BJ131" s="384">
        <v>43</v>
      </c>
      <c r="BK131" s="384">
        <v>46</v>
      </c>
      <c r="BL131" s="384">
        <v>49</v>
      </c>
      <c r="BM131" s="384">
        <v>53</v>
      </c>
      <c r="BN131" s="384">
        <v>60</v>
      </c>
      <c r="BO131" s="384">
        <v>64</v>
      </c>
      <c r="BP131" s="384">
        <v>72</v>
      </c>
      <c r="BQ131" s="384">
        <v>75</v>
      </c>
      <c r="BR131" s="384">
        <v>79</v>
      </c>
      <c r="BS131" s="384">
        <v>85</v>
      </c>
      <c r="BT131" s="384">
        <v>88</v>
      </c>
      <c r="BU131" s="384">
        <v>91</v>
      </c>
      <c r="BV131" s="384">
        <v>91</v>
      </c>
      <c r="CG131" s="380">
        <v>5</v>
      </c>
      <c r="CH131" s="384">
        <v>40</v>
      </c>
      <c r="CI131" s="384">
        <v>40</v>
      </c>
      <c r="CJ131" s="384">
        <v>40</v>
      </c>
      <c r="CK131" s="384">
        <v>43</v>
      </c>
      <c r="CL131" s="384">
        <v>46</v>
      </c>
      <c r="CM131" s="384">
        <v>49</v>
      </c>
      <c r="CN131" s="384">
        <v>49</v>
      </c>
      <c r="CO131" s="384">
        <v>53</v>
      </c>
      <c r="CP131" s="384">
        <v>60</v>
      </c>
      <c r="CQ131" s="384">
        <v>64</v>
      </c>
      <c r="CR131" s="384">
        <v>72</v>
      </c>
      <c r="CS131" s="384">
        <v>75</v>
      </c>
      <c r="CT131" s="384">
        <v>79</v>
      </c>
      <c r="CU131" s="384">
        <v>85</v>
      </c>
      <c r="CV131" s="384">
        <v>88</v>
      </c>
      <c r="CW131" s="384">
        <v>91</v>
      </c>
      <c r="CX131" s="384">
        <v>91</v>
      </c>
      <c r="DI131" s="380">
        <v>5</v>
      </c>
      <c r="DJ131" s="384">
        <v>40</v>
      </c>
      <c r="DK131" s="384">
        <v>40</v>
      </c>
      <c r="DL131" s="384">
        <v>40</v>
      </c>
      <c r="DM131" s="384">
        <v>43</v>
      </c>
      <c r="DN131" s="384">
        <v>46</v>
      </c>
      <c r="DO131" s="384">
        <v>49</v>
      </c>
      <c r="DP131" s="384">
        <v>53</v>
      </c>
      <c r="DQ131" s="384">
        <v>56</v>
      </c>
      <c r="DR131" s="384">
        <v>68</v>
      </c>
      <c r="DS131" s="384">
        <v>72</v>
      </c>
      <c r="DT131" s="384">
        <v>79</v>
      </c>
      <c r="DU131" s="384">
        <v>82</v>
      </c>
      <c r="DV131" s="384">
        <v>85</v>
      </c>
      <c r="DW131" s="384">
        <v>88</v>
      </c>
      <c r="DX131" s="384">
        <v>88</v>
      </c>
      <c r="DY131" s="384">
        <v>91</v>
      </c>
      <c r="DZ131" s="384">
        <v>94</v>
      </c>
    </row>
    <row r="132" spans="1:130" x14ac:dyDescent="0.15">
      <c r="A132" s="390">
        <v>6</v>
      </c>
      <c r="B132" s="391">
        <v>40</v>
      </c>
      <c r="C132" s="391">
        <v>40</v>
      </c>
      <c r="D132" s="391">
        <v>40</v>
      </c>
      <c r="E132" s="391">
        <v>40</v>
      </c>
      <c r="F132" s="391">
        <v>40</v>
      </c>
      <c r="G132" s="391">
        <v>43</v>
      </c>
      <c r="H132" s="391">
        <v>46</v>
      </c>
      <c r="I132" s="391">
        <v>53</v>
      </c>
      <c r="J132" s="391">
        <v>56</v>
      </c>
      <c r="K132" s="391">
        <v>64</v>
      </c>
      <c r="L132" s="391">
        <v>68</v>
      </c>
      <c r="M132" s="391">
        <v>75</v>
      </c>
      <c r="N132" s="391">
        <v>79</v>
      </c>
      <c r="O132" s="391">
        <v>82</v>
      </c>
      <c r="P132" s="391">
        <v>85</v>
      </c>
      <c r="Q132" s="391">
        <v>88</v>
      </c>
      <c r="R132" s="391">
        <v>91</v>
      </c>
      <c r="AC132" s="380">
        <v>6</v>
      </c>
      <c r="AD132" s="384">
        <v>40</v>
      </c>
      <c r="AE132" s="384">
        <v>40</v>
      </c>
      <c r="AF132" s="384">
        <v>40</v>
      </c>
      <c r="AG132" s="384">
        <v>40</v>
      </c>
      <c r="AH132" s="384">
        <v>43</v>
      </c>
      <c r="AI132" s="384">
        <v>46</v>
      </c>
      <c r="AJ132" s="384">
        <v>49</v>
      </c>
      <c r="AK132" s="384">
        <v>53</v>
      </c>
      <c r="AL132" s="384">
        <v>56</v>
      </c>
      <c r="AM132" s="384">
        <v>64</v>
      </c>
      <c r="AN132" s="384">
        <v>72</v>
      </c>
      <c r="AO132" s="384">
        <v>75</v>
      </c>
      <c r="AP132" s="384">
        <v>79</v>
      </c>
      <c r="AQ132" s="384">
        <v>82</v>
      </c>
      <c r="AR132" s="384">
        <v>85</v>
      </c>
      <c r="AS132" s="384">
        <v>88</v>
      </c>
      <c r="AT132" s="384">
        <v>91</v>
      </c>
      <c r="BE132" s="380">
        <v>6</v>
      </c>
      <c r="BF132" s="384">
        <v>40</v>
      </c>
      <c r="BG132" s="384">
        <v>40</v>
      </c>
      <c r="BH132" s="384">
        <v>40</v>
      </c>
      <c r="BI132" s="384">
        <v>40</v>
      </c>
      <c r="BJ132" s="384">
        <v>43</v>
      </c>
      <c r="BK132" s="384">
        <v>46</v>
      </c>
      <c r="BL132" s="384">
        <v>49</v>
      </c>
      <c r="BM132" s="384">
        <v>53</v>
      </c>
      <c r="BN132" s="384">
        <v>60</v>
      </c>
      <c r="BO132" s="384">
        <v>64</v>
      </c>
      <c r="BP132" s="384">
        <v>72</v>
      </c>
      <c r="BQ132" s="384">
        <v>75</v>
      </c>
      <c r="BR132" s="384">
        <v>79</v>
      </c>
      <c r="BS132" s="384">
        <v>85</v>
      </c>
      <c r="BT132" s="384">
        <v>88</v>
      </c>
      <c r="BU132" s="384">
        <v>91</v>
      </c>
      <c r="BV132" s="384">
        <v>91</v>
      </c>
      <c r="CG132" s="380">
        <v>6</v>
      </c>
      <c r="CH132" s="384">
        <v>40</v>
      </c>
      <c r="CI132" s="384">
        <v>40</v>
      </c>
      <c r="CJ132" s="384">
        <v>40</v>
      </c>
      <c r="CK132" s="384">
        <v>43</v>
      </c>
      <c r="CL132" s="384">
        <v>46</v>
      </c>
      <c r="CM132" s="384">
        <v>49</v>
      </c>
      <c r="CN132" s="384">
        <v>49</v>
      </c>
      <c r="CO132" s="384">
        <v>53</v>
      </c>
      <c r="CP132" s="384">
        <v>60</v>
      </c>
      <c r="CQ132" s="384">
        <v>64</v>
      </c>
      <c r="CR132" s="384">
        <v>72</v>
      </c>
      <c r="CS132" s="384">
        <v>75</v>
      </c>
      <c r="CT132" s="384">
        <v>79</v>
      </c>
      <c r="CU132" s="384">
        <v>85</v>
      </c>
      <c r="CV132" s="384">
        <v>88</v>
      </c>
      <c r="CW132" s="384">
        <v>91</v>
      </c>
      <c r="CX132" s="384">
        <v>91</v>
      </c>
      <c r="DI132" s="380">
        <v>6</v>
      </c>
      <c r="DJ132" s="384">
        <v>40</v>
      </c>
      <c r="DK132" s="384">
        <v>40</v>
      </c>
      <c r="DL132" s="384">
        <v>40</v>
      </c>
      <c r="DM132" s="384">
        <v>43</v>
      </c>
      <c r="DN132" s="384">
        <v>46</v>
      </c>
      <c r="DO132" s="384">
        <v>49</v>
      </c>
      <c r="DP132" s="384">
        <v>53</v>
      </c>
      <c r="DQ132" s="384">
        <v>56</v>
      </c>
      <c r="DR132" s="384">
        <v>68</v>
      </c>
      <c r="DS132" s="384">
        <v>72</v>
      </c>
      <c r="DT132" s="384">
        <v>79</v>
      </c>
      <c r="DU132" s="384">
        <v>82</v>
      </c>
      <c r="DV132" s="384">
        <v>85</v>
      </c>
      <c r="DW132" s="384">
        <v>88</v>
      </c>
      <c r="DX132" s="384">
        <v>88</v>
      </c>
      <c r="DY132" s="384">
        <v>91</v>
      </c>
      <c r="DZ132" s="384">
        <v>94</v>
      </c>
    </row>
    <row r="133" spans="1:130" x14ac:dyDescent="0.15">
      <c r="A133" s="388">
        <v>7</v>
      </c>
      <c r="B133" s="391">
        <v>40</v>
      </c>
      <c r="C133" s="391">
        <v>40</v>
      </c>
      <c r="D133" s="391">
        <v>40</v>
      </c>
      <c r="E133" s="391">
        <v>40</v>
      </c>
      <c r="F133" s="391">
        <v>40</v>
      </c>
      <c r="G133" s="391">
        <v>43</v>
      </c>
      <c r="H133" s="391">
        <v>46</v>
      </c>
      <c r="I133" s="391">
        <v>53</v>
      </c>
      <c r="J133" s="391">
        <v>56</v>
      </c>
      <c r="K133" s="391">
        <v>64</v>
      </c>
      <c r="L133" s="391">
        <v>68</v>
      </c>
      <c r="M133" s="391">
        <v>75</v>
      </c>
      <c r="N133" s="391">
        <v>79</v>
      </c>
      <c r="O133" s="391">
        <v>82</v>
      </c>
      <c r="P133" s="391">
        <v>85</v>
      </c>
      <c r="Q133" s="391">
        <v>88</v>
      </c>
      <c r="R133" s="391">
        <v>91</v>
      </c>
      <c r="AC133" s="380">
        <v>7</v>
      </c>
      <c r="AD133" s="384">
        <v>40</v>
      </c>
      <c r="AE133" s="384">
        <v>40</v>
      </c>
      <c r="AF133" s="384">
        <v>40</v>
      </c>
      <c r="AG133" s="384">
        <v>40</v>
      </c>
      <c r="AH133" s="384">
        <v>43</v>
      </c>
      <c r="AI133" s="384">
        <v>46</v>
      </c>
      <c r="AJ133" s="384">
        <v>49</v>
      </c>
      <c r="AK133" s="384">
        <v>53</v>
      </c>
      <c r="AL133" s="384">
        <v>56</v>
      </c>
      <c r="AM133" s="384">
        <v>64</v>
      </c>
      <c r="AN133" s="384">
        <v>72</v>
      </c>
      <c r="AO133" s="384">
        <v>75</v>
      </c>
      <c r="AP133" s="384">
        <v>79</v>
      </c>
      <c r="AQ133" s="384">
        <v>82</v>
      </c>
      <c r="AR133" s="384">
        <v>85</v>
      </c>
      <c r="AS133" s="384">
        <v>88</v>
      </c>
      <c r="AT133" s="384">
        <v>91</v>
      </c>
      <c r="BE133" s="380">
        <v>7</v>
      </c>
      <c r="BF133" s="384">
        <v>40</v>
      </c>
      <c r="BG133" s="384">
        <v>40</v>
      </c>
      <c r="BH133" s="384">
        <v>40</v>
      </c>
      <c r="BI133" s="384">
        <v>40</v>
      </c>
      <c r="BJ133" s="384">
        <v>43</v>
      </c>
      <c r="BK133" s="384">
        <v>46</v>
      </c>
      <c r="BL133" s="384">
        <v>49</v>
      </c>
      <c r="BM133" s="384">
        <v>53</v>
      </c>
      <c r="BN133" s="384">
        <v>60</v>
      </c>
      <c r="BO133" s="384">
        <v>64</v>
      </c>
      <c r="BP133" s="384">
        <v>72</v>
      </c>
      <c r="BQ133" s="384">
        <v>75</v>
      </c>
      <c r="BR133" s="384">
        <v>79</v>
      </c>
      <c r="BS133" s="384">
        <v>85</v>
      </c>
      <c r="BT133" s="384">
        <v>88</v>
      </c>
      <c r="BU133" s="384">
        <v>91</v>
      </c>
      <c r="BV133" s="384">
        <v>91</v>
      </c>
      <c r="CG133" s="380">
        <v>7</v>
      </c>
      <c r="CH133" s="384">
        <v>40</v>
      </c>
      <c r="CI133" s="384">
        <v>40</v>
      </c>
      <c r="CJ133" s="384">
        <v>40</v>
      </c>
      <c r="CK133" s="384">
        <v>43</v>
      </c>
      <c r="CL133" s="384">
        <v>46</v>
      </c>
      <c r="CM133" s="384">
        <v>49</v>
      </c>
      <c r="CN133" s="384">
        <v>49</v>
      </c>
      <c r="CO133" s="384">
        <v>53</v>
      </c>
      <c r="CP133" s="384">
        <v>60</v>
      </c>
      <c r="CQ133" s="384">
        <v>64</v>
      </c>
      <c r="CR133" s="384">
        <v>72</v>
      </c>
      <c r="CS133" s="384">
        <v>75</v>
      </c>
      <c r="CT133" s="384">
        <v>79</v>
      </c>
      <c r="CU133" s="384">
        <v>85</v>
      </c>
      <c r="CV133" s="384">
        <v>88</v>
      </c>
      <c r="CW133" s="384">
        <v>91</v>
      </c>
      <c r="CX133" s="384">
        <v>91</v>
      </c>
      <c r="DI133" s="380">
        <v>7</v>
      </c>
      <c r="DJ133" s="384">
        <v>40</v>
      </c>
      <c r="DK133" s="384">
        <v>40</v>
      </c>
      <c r="DL133" s="384">
        <v>40</v>
      </c>
      <c r="DM133" s="384">
        <v>43</v>
      </c>
      <c r="DN133" s="384">
        <v>46</v>
      </c>
      <c r="DO133" s="384">
        <v>49</v>
      </c>
      <c r="DP133" s="384">
        <v>53</v>
      </c>
      <c r="DQ133" s="384">
        <v>56</v>
      </c>
      <c r="DR133" s="384">
        <v>68</v>
      </c>
      <c r="DS133" s="384">
        <v>72</v>
      </c>
      <c r="DT133" s="384">
        <v>79</v>
      </c>
      <c r="DU133" s="384">
        <v>82</v>
      </c>
      <c r="DV133" s="384">
        <v>85</v>
      </c>
      <c r="DW133" s="384">
        <v>88</v>
      </c>
      <c r="DX133" s="384">
        <v>88</v>
      </c>
      <c r="DY133" s="384">
        <v>91</v>
      </c>
      <c r="DZ133" s="384">
        <v>94</v>
      </c>
    </row>
    <row r="134" spans="1:130" x14ac:dyDescent="0.15">
      <c r="A134" s="390">
        <v>8</v>
      </c>
      <c r="B134" s="391">
        <v>40</v>
      </c>
      <c r="C134" s="391">
        <v>40</v>
      </c>
      <c r="D134" s="391">
        <v>40</v>
      </c>
      <c r="E134" s="391">
        <v>40</v>
      </c>
      <c r="F134" s="391">
        <v>40</v>
      </c>
      <c r="G134" s="391">
        <v>43</v>
      </c>
      <c r="H134" s="391">
        <v>46</v>
      </c>
      <c r="I134" s="391">
        <v>53</v>
      </c>
      <c r="J134" s="391">
        <v>56</v>
      </c>
      <c r="K134" s="391">
        <v>64</v>
      </c>
      <c r="L134" s="391">
        <v>68</v>
      </c>
      <c r="M134" s="391">
        <v>75</v>
      </c>
      <c r="N134" s="391">
        <v>79</v>
      </c>
      <c r="O134" s="391">
        <v>82</v>
      </c>
      <c r="P134" s="391">
        <v>85</v>
      </c>
      <c r="Q134" s="391">
        <v>88</v>
      </c>
      <c r="R134" s="391">
        <v>91</v>
      </c>
      <c r="AC134" s="380">
        <v>8</v>
      </c>
      <c r="AD134" s="384">
        <v>40</v>
      </c>
      <c r="AE134" s="384">
        <v>40</v>
      </c>
      <c r="AF134" s="384">
        <v>40</v>
      </c>
      <c r="AG134" s="384">
        <v>40</v>
      </c>
      <c r="AH134" s="384">
        <v>43</v>
      </c>
      <c r="AI134" s="384">
        <v>46</v>
      </c>
      <c r="AJ134" s="384">
        <v>49</v>
      </c>
      <c r="AK134" s="384">
        <v>53</v>
      </c>
      <c r="AL134" s="384">
        <v>56</v>
      </c>
      <c r="AM134" s="384">
        <v>64</v>
      </c>
      <c r="AN134" s="384">
        <v>72</v>
      </c>
      <c r="AO134" s="384">
        <v>75</v>
      </c>
      <c r="AP134" s="384">
        <v>79</v>
      </c>
      <c r="AQ134" s="384">
        <v>82</v>
      </c>
      <c r="AR134" s="384">
        <v>85</v>
      </c>
      <c r="AS134" s="384">
        <v>88</v>
      </c>
      <c r="AT134" s="384">
        <v>91</v>
      </c>
      <c r="BE134" s="380">
        <v>8</v>
      </c>
      <c r="BF134" s="384">
        <v>40</v>
      </c>
      <c r="BG134" s="384">
        <v>40</v>
      </c>
      <c r="BH134" s="384">
        <v>40</v>
      </c>
      <c r="BI134" s="384">
        <v>40</v>
      </c>
      <c r="BJ134" s="384">
        <v>43</v>
      </c>
      <c r="BK134" s="384">
        <v>46</v>
      </c>
      <c r="BL134" s="384">
        <v>49</v>
      </c>
      <c r="BM134" s="384">
        <v>53</v>
      </c>
      <c r="BN134" s="384">
        <v>60</v>
      </c>
      <c r="BO134" s="384">
        <v>64</v>
      </c>
      <c r="BP134" s="384">
        <v>72</v>
      </c>
      <c r="BQ134" s="384">
        <v>75</v>
      </c>
      <c r="BR134" s="384">
        <v>79</v>
      </c>
      <c r="BS134" s="384">
        <v>85</v>
      </c>
      <c r="BT134" s="384">
        <v>88</v>
      </c>
      <c r="BU134" s="384">
        <v>91</v>
      </c>
      <c r="BV134" s="384">
        <v>91</v>
      </c>
      <c r="CG134" s="380">
        <v>8</v>
      </c>
      <c r="CH134" s="384">
        <v>40</v>
      </c>
      <c r="CI134" s="384">
        <v>40</v>
      </c>
      <c r="CJ134" s="384">
        <v>40</v>
      </c>
      <c r="CK134" s="384">
        <v>43</v>
      </c>
      <c r="CL134" s="384">
        <v>46</v>
      </c>
      <c r="CM134" s="384">
        <v>49</v>
      </c>
      <c r="CN134" s="384">
        <v>49</v>
      </c>
      <c r="CO134" s="384">
        <v>53</v>
      </c>
      <c r="CP134" s="384">
        <v>60</v>
      </c>
      <c r="CQ134" s="384">
        <v>64</v>
      </c>
      <c r="CR134" s="384">
        <v>72</v>
      </c>
      <c r="CS134" s="384">
        <v>75</v>
      </c>
      <c r="CT134" s="384">
        <v>79</v>
      </c>
      <c r="CU134" s="384">
        <v>85</v>
      </c>
      <c r="CV134" s="384">
        <v>88</v>
      </c>
      <c r="CW134" s="384">
        <v>91</v>
      </c>
      <c r="CX134" s="384">
        <v>91</v>
      </c>
      <c r="DI134" s="380">
        <v>8</v>
      </c>
      <c r="DJ134" s="384">
        <v>40</v>
      </c>
      <c r="DK134" s="384">
        <v>40</v>
      </c>
      <c r="DL134" s="384">
        <v>40</v>
      </c>
      <c r="DM134" s="384">
        <v>43</v>
      </c>
      <c r="DN134" s="384">
        <v>46</v>
      </c>
      <c r="DO134" s="384">
        <v>49</v>
      </c>
      <c r="DP134" s="384">
        <v>53</v>
      </c>
      <c r="DQ134" s="384">
        <v>56</v>
      </c>
      <c r="DR134" s="384">
        <v>68</v>
      </c>
      <c r="DS134" s="384">
        <v>72</v>
      </c>
      <c r="DT134" s="384">
        <v>79</v>
      </c>
      <c r="DU134" s="384">
        <v>82</v>
      </c>
      <c r="DV134" s="384">
        <v>85</v>
      </c>
      <c r="DW134" s="384">
        <v>88</v>
      </c>
      <c r="DX134" s="384">
        <v>88</v>
      </c>
      <c r="DY134" s="384">
        <v>91</v>
      </c>
      <c r="DZ134" s="384">
        <v>94</v>
      </c>
    </row>
    <row r="135" spans="1:130" x14ac:dyDescent="0.15">
      <c r="A135" s="390">
        <v>9</v>
      </c>
      <c r="B135" s="391">
        <v>40</v>
      </c>
      <c r="C135" s="391">
        <v>40</v>
      </c>
      <c r="D135" s="391">
        <v>40</v>
      </c>
      <c r="E135" s="391">
        <v>40</v>
      </c>
      <c r="F135" s="391">
        <v>40</v>
      </c>
      <c r="G135" s="391">
        <v>43</v>
      </c>
      <c r="H135" s="391">
        <v>46</v>
      </c>
      <c r="I135" s="391">
        <v>53</v>
      </c>
      <c r="J135" s="391">
        <v>56</v>
      </c>
      <c r="K135" s="391">
        <v>64</v>
      </c>
      <c r="L135" s="391">
        <v>68</v>
      </c>
      <c r="M135" s="391">
        <v>75</v>
      </c>
      <c r="N135" s="391">
        <v>79</v>
      </c>
      <c r="O135" s="391">
        <v>82</v>
      </c>
      <c r="P135" s="391">
        <v>85</v>
      </c>
      <c r="Q135" s="391">
        <v>88</v>
      </c>
      <c r="R135" s="391">
        <v>91</v>
      </c>
      <c r="AC135" s="380">
        <v>9</v>
      </c>
      <c r="AD135" s="384">
        <v>40</v>
      </c>
      <c r="AE135" s="384">
        <v>40</v>
      </c>
      <c r="AF135" s="384">
        <v>40</v>
      </c>
      <c r="AG135" s="384">
        <v>40</v>
      </c>
      <c r="AH135" s="384">
        <v>43</v>
      </c>
      <c r="AI135" s="384">
        <v>46</v>
      </c>
      <c r="AJ135" s="384">
        <v>49</v>
      </c>
      <c r="AK135" s="384">
        <v>53</v>
      </c>
      <c r="AL135" s="384">
        <v>56</v>
      </c>
      <c r="AM135" s="384">
        <v>64</v>
      </c>
      <c r="AN135" s="384">
        <v>72</v>
      </c>
      <c r="AO135" s="384">
        <v>75</v>
      </c>
      <c r="AP135" s="384">
        <v>79</v>
      </c>
      <c r="AQ135" s="384">
        <v>82</v>
      </c>
      <c r="AR135" s="384">
        <v>85</v>
      </c>
      <c r="AS135" s="384">
        <v>88</v>
      </c>
      <c r="AT135" s="384">
        <v>91</v>
      </c>
      <c r="BE135" s="380">
        <v>9</v>
      </c>
      <c r="BF135" s="384">
        <v>40</v>
      </c>
      <c r="BG135" s="384">
        <v>40</v>
      </c>
      <c r="BH135" s="384">
        <v>40</v>
      </c>
      <c r="BI135" s="384">
        <v>40</v>
      </c>
      <c r="BJ135" s="384">
        <v>43</v>
      </c>
      <c r="BK135" s="384">
        <v>46</v>
      </c>
      <c r="BL135" s="384">
        <v>49</v>
      </c>
      <c r="BM135" s="384">
        <v>53</v>
      </c>
      <c r="BN135" s="384">
        <v>60</v>
      </c>
      <c r="BO135" s="384">
        <v>64</v>
      </c>
      <c r="BP135" s="384">
        <v>72</v>
      </c>
      <c r="BQ135" s="384">
        <v>75</v>
      </c>
      <c r="BR135" s="384">
        <v>79</v>
      </c>
      <c r="BS135" s="384">
        <v>85</v>
      </c>
      <c r="BT135" s="384">
        <v>88</v>
      </c>
      <c r="BU135" s="384">
        <v>91</v>
      </c>
      <c r="BV135" s="384">
        <v>91</v>
      </c>
      <c r="CG135" s="380">
        <v>9</v>
      </c>
      <c r="CH135" s="384">
        <v>40</v>
      </c>
      <c r="CI135" s="384">
        <v>40</v>
      </c>
      <c r="CJ135" s="384">
        <v>40</v>
      </c>
      <c r="CK135" s="384">
        <v>43</v>
      </c>
      <c r="CL135" s="384">
        <v>46</v>
      </c>
      <c r="CM135" s="384">
        <v>49</v>
      </c>
      <c r="CN135" s="384">
        <v>49</v>
      </c>
      <c r="CO135" s="384">
        <v>53</v>
      </c>
      <c r="CP135" s="384">
        <v>60</v>
      </c>
      <c r="CQ135" s="384">
        <v>64</v>
      </c>
      <c r="CR135" s="384">
        <v>72</v>
      </c>
      <c r="CS135" s="384">
        <v>75</v>
      </c>
      <c r="CT135" s="384">
        <v>79</v>
      </c>
      <c r="CU135" s="384">
        <v>85</v>
      </c>
      <c r="CV135" s="384">
        <v>88</v>
      </c>
      <c r="CW135" s="384">
        <v>91</v>
      </c>
      <c r="CX135" s="384">
        <v>91</v>
      </c>
      <c r="DI135" s="380">
        <v>9</v>
      </c>
      <c r="DJ135" s="384">
        <v>40</v>
      </c>
      <c r="DK135" s="384">
        <v>40</v>
      </c>
      <c r="DL135" s="384">
        <v>40</v>
      </c>
      <c r="DM135" s="384">
        <v>43</v>
      </c>
      <c r="DN135" s="384">
        <v>46</v>
      </c>
      <c r="DO135" s="384">
        <v>49</v>
      </c>
      <c r="DP135" s="384">
        <v>53</v>
      </c>
      <c r="DQ135" s="384">
        <v>56</v>
      </c>
      <c r="DR135" s="384">
        <v>68</v>
      </c>
      <c r="DS135" s="384">
        <v>72</v>
      </c>
      <c r="DT135" s="384">
        <v>79</v>
      </c>
      <c r="DU135" s="384">
        <v>82</v>
      </c>
      <c r="DV135" s="384">
        <v>85</v>
      </c>
      <c r="DW135" s="384">
        <v>88</v>
      </c>
      <c r="DX135" s="384">
        <v>88</v>
      </c>
      <c r="DY135" s="384">
        <v>91</v>
      </c>
      <c r="DZ135" s="384">
        <v>94</v>
      </c>
    </row>
    <row r="136" spans="1:130" x14ac:dyDescent="0.15">
      <c r="A136" s="390">
        <v>10</v>
      </c>
      <c r="B136" s="391">
        <v>40</v>
      </c>
      <c r="C136" s="391">
        <v>40</v>
      </c>
      <c r="D136" s="391">
        <v>40</v>
      </c>
      <c r="E136" s="391">
        <v>40</v>
      </c>
      <c r="F136" s="391">
        <v>40</v>
      </c>
      <c r="G136" s="391">
        <v>43</v>
      </c>
      <c r="H136" s="391">
        <v>46</v>
      </c>
      <c r="I136" s="391">
        <v>53</v>
      </c>
      <c r="J136" s="391">
        <v>56</v>
      </c>
      <c r="K136" s="391">
        <v>64</v>
      </c>
      <c r="L136" s="391">
        <v>68</v>
      </c>
      <c r="M136" s="391">
        <v>75</v>
      </c>
      <c r="N136" s="391">
        <v>79</v>
      </c>
      <c r="O136" s="391">
        <v>82</v>
      </c>
      <c r="P136" s="391">
        <v>85</v>
      </c>
      <c r="Q136" s="391">
        <v>88</v>
      </c>
      <c r="R136" s="391">
        <v>91</v>
      </c>
      <c r="AC136" s="380">
        <v>10</v>
      </c>
      <c r="AD136" s="384">
        <v>40</v>
      </c>
      <c r="AE136" s="384">
        <v>40</v>
      </c>
      <c r="AF136" s="384">
        <v>40</v>
      </c>
      <c r="AG136" s="384">
        <v>40</v>
      </c>
      <c r="AH136" s="384">
        <v>43</v>
      </c>
      <c r="AI136" s="384">
        <v>46</v>
      </c>
      <c r="AJ136" s="384">
        <v>49</v>
      </c>
      <c r="AK136" s="384">
        <v>53</v>
      </c>
      <c r="AL136" s="384">
        <v>56</v>
      </c>
      <c r="AM136" s="384">
        <v>64</v>
      </c>
      <c r="AN136" s="384">
        <v>72</v>
      </c>
      <c r="AO136" s="384">
        <v>75</v>
      </c>
      <c r="AP136" s="384">
        <v>79</v>
      </c>
      <c r="AQ136" s="384">
        <v>82</v>
      </c>
      <c r="AR136" s="384">
        <v>85</v>
      </c>
      <c r="AS136" s="384">
        <v>88</v>
      </c>
      <c r="AT136" s="384">
        <v>91</v>
      </c>
      <c r="BE136" s="380">
        <v>10</v>
      </c>
      <c r="BF136" s="384">
        <v>40</v>
      </c>
      <c r="BG136" s="384">
        <v>40</v>
      </c>
      <c r="BH136" s="384">
        <v>40</v>
      </c>
      <c r="BI136" s="384">
        <v>40</v>
      </c>
      <c r="BJ136" s="384">
        <v>43</v>
      </c>
      <c r="BK136" s="384">
        <v>46</v>
      </c>
      <c r="BL136" s="384">
        <v>49</v>
      </c>
      <c r="BM136" s="384">
        <v>53</v>
      </c>
      <c r="BN136" s="384">
        <v>60</v>
      </c>
      <c r="BO136" s="384">
        <v>64</v>
      </c>
      <c r="BP136" s="384">
        <v>72</v>
      </c>
      <c r="BQ136" s="384">
        <v>75</v>
      </c>
      <c r="BR136" s="384">
        <v>79</v>
      </c>
      <c r="BS136" s="384">
        <v>85</v>
      </c>
      <c r="BT136" s="384">
        <v>88</v>
      </c>
      <c r="BU136" s="384">
        <v>91</v>
      </c>
      <c r="BV136" s="384">
        <v>91</v>
      </c>
      <c r="CG136" s="380">
        <v>10</v>
      </c>
      <c r="CH136" s="384">
        <v>40</v>
      </c>
      <c r="CI136" s="384">
        <v>40</v>
      </c>
      <c r="CJ136" s="384">
        <v>40</v>
      </c>
      <c r="CK136" s="384">
        <v>43</v>
      </c>
      <c r="CL136" s="384">
        <v>46</v>
      </c>
      <c r="CM136" s="384">
        <v>49</v>
      </c>
      <c r="CN136" s="384">
        <v>49</v>
      </c>
      <c r="CO136" s="384">
        <v>53</v>
      </c>
      <c r="CP136" s="384">
        <v>60</v>
      </c>
      <c r="CQ136" s="384">
        <v>64</v>
      </c>
      <c r="CR136" s="384">
        <v>72</v>
      </c>
      <c r="CS136" s="384">
        <v>75</v>
      </c>
      <c r="CT136" s="384">
        <v>79</v>
      </c>
      <c r="CU136" s="384">
        <v>85</v>
      </c>
      <c r="CV136" s="384">
        <v>88</v>
      </c>
      <c r="CW136" s="384">
        <v>91</v>
      </c>
      <c r="CX136" s="384">
        <v>91</v>
      </c>
      <c r="DI136" s="380">
        <v>10</v>
      </c>
      <c r="DJ136" s="384">
        <v>43</v>
      </c>
      <c r="DK136" s="384">
        <v>43</v>
      </c>
      <c r="DL136" s="384">
        <v>43</v>
      </c>
      <c r="DM136" s="384">
        <v>46</v>
      </c>
      <c r="DN136" s="384">
        <v>49</v>
      </c>
      <c r="DO136" s="384">
        <v>53</v>
      </c>
      <c r="DP136" s="384">
        <v>56</v>
      </c>
      <c r="DQ136" s="384">
        <v>60</v>
      </c>
      <c r="DR136" s="384">
        <v>72</v>
      </c>
      <c r="DS136" s="384">
        <v>75</v>
      </c>
      <c r="DT136" s="384">
        <v>82</v>
      </c>
      <c r="DU136" s="384">
        <v>85</v>
      </c>
      <c r="DV136" s="384">
        <v>88</v>
      </c>
      <c r="DW136" s="384">
        <v>91</v>
      </c>
      <c r="DX136" s="384">
        <v>91</v>
      </c>
      <c r="DY136" s="384">
        <v>94</v>
      </c>
      <c r="DZ136" s="384">
        <v>97</v>
      </c>
    </row>
    <row r="137" spans="1:130" x14ac:dyDescent="0.15">
      <c r="A137" s="390">
        <v>11</v>
      </c>
      <c r="B137" s="391">
        <v>40</v>
      </c>
      <c r="C137" s="391">
        <v>40</v>
      </c>
      <c r="D137" s="391">
        <v>40</v>
      </c>
      <c r="E137" s="391">
        <v>40</v>
      </c>
      <c r="F137" s="391">
        <v>40</v>
      </c>
      <c r="G137" s="391">
        <v>43</v>
      </c>
      <c r="H137" s="391">
        <v>46</v>
      </c>
      <c r="I137" s="391">
        <v>53</v>
      </c>
      <c r="J137" s="391">
        <v>56</v>
      </c>
      <c r="K137" s="391">
        <v>64</v>
      </c>
      <c r="L137" s="391">
        <v>68</v>
      </c>
      <c r="M137" s="391">
        <v>75</v>
      </c>
      <c r="N137" s="391">
        <v>79</v>
      </c>
      <c r="O137" s="391">
        <v>82</v>
      </c>
      <c r="P137" s="391">
        <v>85</v>
      </c>
      <c r="Q137" s="391">
        <v>88</v>
      </c>
      <c r="R137" s="391">
        <v>91</v>
      </c>
      <c r="AC137" s="380">
        <v>11</v>
      </c>
      <c r="AD137" s="384">
        <v>40</v>
      </c>
      <c r="AE137" s="384">
        <v>40</v>
      </c>
      <c r="AF137" s="384">
        <v>40</v>
      </c>
      <c r="AG137" s="384">
        <v>40</v>
      </c>
      <c r="AH137" s="384">
        <v>43</v>
      </c>
      <c r="AI137" s="384">
        <v>46</v>
      </c>
      <c r="AJ137" s="384">
        <v>49</v>
      </c>
      <c r="AK137" s="384">
        <v>53</v>
      </c>
      <c r="AL137" s="384">
        <v>56</v>
      </c>
      <c r="AM137" s="384">
        <v>64</v>
      </c>
      <c r="AN137" s="384">
        <v>72</v>
      </c>
      <c r="AO137" s="384">
        <v>75</v>
      </c>
      <c r="AP137" s="384">
        <v>79</v>
      </c>
      <c r="AQ137" s="384">
        <v>82</v>
      </c>
      <c r="AR137" s="384">
        <v>85</v>
      </c>
      <c r="AS137" s="384">
        <v>88</v>
      </c>
      <c r="AT137" s="384">
        <v>91</v>
      </c>
      <c r="BE137" s="380">
        <v>11</v>
      </c>
      <c r="BF137" s="384">
        <v>43</v>
      </c>
      <c r="BG137" s="384">
        <v>43</v>
      </c>
      <c r="BH137" s="384">
        <v>43</v>
      </c>
      <c r="BI137" s="384">
        <v>43</v>
      </c>
      <c r="BJ137" s="384">
        <v>46</v>
      </c>
      <c r="BK137" s="384">
        <v>49</v>
      </c>
      <c r="BL137" s="384">
        <v>53</v>
      </c>
      <c r="BM137" s="384">
        <v>56</v>
      </c>
      <c r="BN137" s="384">
        <v>64</v>
      </c>
      <c r="BO137" s="384">
        <v>68</v>
      </c>
      <c r="BP137" s="384">
        <v>75</v>
      </c>
      <c r="BQ137" s="384">
        <v>79</v>
      </c>
      <c r="BR137" s="384">
        <v>82</v>
      </c>
      <c r="BS137" s="384">
        <v>88</v>
      </c>
      <c r="BT137" s="384">
        <v>91</v>
      </c>
      <c r="BU137" s="384">
        <v>94</v>
      </c>
      <c r="BV137" s="384">
        <v>94</v>
      </c>
      <c r="CG137" s="380">
        <v>11</v>
      </c>
      <c r="CH137" s="384">
        <v>43</v>
      </c>
      <c r="CI137" s="384">
        <v>43</v>
      </c>
      <c r="CJ137" s="384">
        <v>43</v>
      </c>
      <c r="CK137" s="384">
        <v>46</v>
      </c>
      <c r="CL137" s="384">
        <v>49</v>
      </c>
      <c r="CM137" s="384">
        <v>53</v>
      </c>
      <c r="CN137" s="384">
        <v>53</v>
      </c>
      <c r="CO137" s="384">
        <v>56</v>
      </c>
      <c r="CP137" s="384">
        <v>64</v>
      </c>
      <c r="CQ137" s="384">
        <v>68</v>
      </c>
      <c r="CR137" s="384">
        <v>75</v>
      </c>
      <c r="CS137" s="384">
        <v>79</v>
      </c>
      <c r="CT137" s="384">
        <v>82</v>
      </c>
      <c r="CU137" s="384">
        <v>88</v>
      </c>
      <c r="CV137" s="384">
        <v>91</v>
      </c>
      <c r="CW137" s="384">
        <v>94</v>
      </c>
      <c r="CX137" s="384">
        <v>94</v>
      </c>
      <c r="DI137" s="380">
        <v>11</v>
      </c>
      <c r="DJ137" s="384">
        <v>43</v>
      </c>
      <c r="DK137" s="384">
        <v>43</v>
      </c>
      <c r="DL137" s="384">
        <v>43</v>
      </c>
      <c r="DM137" s="384">
        <v>46</v>
      </c>
      <c r="DN137" s="384">
        <v>49</v>
      </c>
      <c r="DO137" s="384">
        <v>53</v>
      </c>
      <c r="DP137" s="384">
        <v>56</v>
      </c>
      <c r="DQ137" s="384">
        <v>60</v>
      </c>
      <c r="DR137" s="384">
        <v>72</v>
      </c>
      <c r="DS137" s="384">
        <v>75</v>
      </c>
      <c r="DT137" s="384">
        <v>82</v>
      </c>
      <c r="DU137" s="384">
        <v>85</v>
      </c>
      <c r="DV137" s="384">
        <v>88</v>
      </c>
      <c r="DW137" s="384">
        <v>91</v>
      </c>
      <c r="DX137" s="384">
        <v>91</v>
      </c>
      <c r="DY137" s="384">
        <v>94</v>
      </c>
      <c r="DZ137" s="384">
        <v>97</v>
      </c>
    </row>
    <row r="138" spans="1:130" x14ac:dyDescent="0.15">
      <c r="A138" s="390">
        <v>12</v>
      </c>
      <c r="B138" s="391">
        <v>40</v>
      </c>
      <c r="C138" s="391">
        <v>40</v>
      </c>
      <c r="D138" s="391">
        <v>40</v>
      </c>
      <c r="E138" s="391">
        <v>40</v>
      </c>
      <c r="F138" s="391">
        <v>40</v>
      </c>
      <c r="G138" s="391">
        <v>43</v>
      </c>
      <c r="H138" s="391">
        <v>46</v>
      </c>
      <c r="I138" s="391">
        <v>53</v>
      </c>
      <c r="J138" s="391">
        <v>56</v>
      </c>
      <c r="K138" s="391">
        <v>64</v>
      </c>
      <c r="L138" s="391">
        <v>68</v>
      </c>
      <c r="M138" s="391">
        <v>75</v>
      </c>
      <c r="N138" s="391">
        <v>79</v>
      </c>
      <c r="O138" s="391">
        <v>82</v>
      </c>
      <c r="P138" s="391">
        <v>85</v>
      </c>
      <c r="Q138" s="391">
        <v>88</v>
      </c>
      <c r="R138" s="391">
        <v>91</v>
      </c>
      <c r="AC138" s="380">
        <v>12</v>
      </c>
      <c r="AD138" s="384">
        <v>43</v>
      </c>
      <c r="AE138" s="384">
        <v>43</v>
      </c>
      <c r="AF138" s="384">
        <v>43</v>
      </c>
      <c r="AG138" s="384">
        <v>43</v>
      </c>
      <c r="AH138" s="384">
        <v>46</v>
      </c>
      <c r="AI138" s="384">
        <v>49</v>
      </c>
      <c r="AJ138" s="384">
        <v>53</v>
      </c>
      <c r="AK138" s="384">
        <v>56</v>
      </c>
      <c r="AL138" s="384">
        <v>60</v>
      </c>
      <c r="AM138" s="384">
        <v>68</v>
      </c>
      <c r="AN138" s="384">
        <v>75</v>
      </c>
      <c r="AO138" s="384">
        <v>79</v>
      </c>
      <c r="AP138" s="384">
        <v>82</v>
      </c>
      <c r="AQ138" s="384">
        <v>85</v>
      </c>
      <c r="AR138" s="384">
        <v>88</v>
      </c>
      <c r="AS138" s="384">
        <v>91</v>
      </c>
      <c r="AT138" s="384">
        <v>94</v>
      </c>
      <c r="BE138" s="380">
        <v>12</v>
      </c>
      <c r="BF138" s="384">
        <v>43</v>
      </c>
      <c r="BG138" s="384">
        <v>43</v>
      </c>
      <c r="BH138" s="384">
        <v>43</v>
      </c>
      <c r="BI138" s="384">
        <v>43</v>
      </c>
      <c r="BJ138" s="384">
        <v>46</v>
      </c>
      <c r="BK138" s="384">
        <v>49</v>
      </c>
      <c r="BL138" s="384">
        <v>53</v>
      </c>
      <c r="BM138" s="384">
        <v>56</v>
      </c>
      <c r="BN138" s="384">
        <v>64</v>
      </c>
      <c r="BO138" s="384">
        <v>68</v>
      </c>
      <c r="BP138" s="384">
        <v>75</v>
      </c>
      <c r="BQ138" s="384">
        <v>79</v>
      </c>
      <c r="BR138" s="384">
        <v>82</v>
      </c>
      <c r="BS138" s="384">
        <v>88</v>
      </c>
      <c r="BT138" s="384">
        <v>91</v>
      </c>
      <c r="BU138" s="384">
        <v>94</v>
      </c>
      <c r="BV138" s="384">
        <v>94</v>
      </c>
      <c r="CG138" s="380">
        <v>12</v>
      </c>
      <c r="CH138" s="384">
        <v>43</v>
      </c>
      <c r="CI138" s="384">
        <v>43</v>
      </c>
      <c r="CJ138" s="384">
        <v>43</v>
      </c>
      <c r="CK138" s="384">
        <v>46</v>
      </c>
      <c r="CL138" s="384">
        <v>49</v>
      </c>
      <c r="CM138" s="384">
        <v>53</v>
      </c>
      <c r="CN138" s="384">
        <v>53</v>
      </c>
      <c r="CO138" s="384">
        <v>56</v>
      </c>
      <c r="CP138" s="384">
        <v>64</v>
      </c>
      <c r="CQ138" s="384">
        <v>68</v>
      </c>
      <c r="CR138" s="384">
        <v>75</v>
      </c>
      <c r="CS138" s="384">
        <v>79</v>
      </c>
      <c r="CT138" s="384">
        <v>82</v>
      </c>
      <c r="CU138" s="384">
        <v>88</v>
      </c>
      <c r="CV138" s="384">
        <v>91</v>
      </c>
      <c r="CW138" s="384">
        <v>94</v>
      </c>
      <c r="CX138" s="384">
        <v>94</v>
      </c>
      <c r="DI138" s="380">
        <v>12</v>
      </c>
      <c r="DJ138" s="384">
        <v>43</v>
      </c>
      <c r="DK138" s="384">
        <v>43</v>
      </c>
      <c r="DL138" s="384">
        <v>43</v>
      </c>
      <c r="DM138" s="384">
        <v>46</v>
      </c>
      <c r="DN138" s="384">
        <v>49</v>
      </c>
      <c r="DO138" s="384">
        <v>53</v>
      </c>
      <c r="DP138" s="384">
        <v>56</v>
      </c>
      <c r="DQ138" s="384">
        <v>60</v>
      </c>
      <c r="DR138" s="384">
        <v>72</v>
      </c>
      <c r="DS138" s="384">
        <v>75</v>
      </c>
      <c r="DT138" s="384">
        <v>82</v>
      </c>
      <c r="DU138" s="384">
        <v>85</v>
      </c>
      <c r="DV138" s="384">
        <v>88</v>
      </c>
      <c r="DW138" s="384">
        <v>91</v>
      </c>
      <c r="DX138" s="384">
        <v>91</v>
      </c>
      <c r="DY138" s="384">
        <v>94</v>
      </c>
      <c r="DZ138" s="384">
        <v>97</v>
      </c>
    </row>
    <row r="139" spans="1:130" x14ac:dyDescent="0.15">
      <c r="A139" s="390">
        <v>13</v>
      </c>
      <c r="B139" s="391">
        <v>40</v>
      </c>
      <c r="C139" s="391">
        <v>40</v>
      </c>
      <c r="D139" s="391">
        <v>40</v>
      </c>
      <c r="E139" s="391">
        <v>40</v>
      </c>
      <c r="F139" s="391">
        <v>40</v>
      </c>
      <c r="G139" s="391">
        <v>43</v>
      </c>
      <c r="H139" s="391">
        <v>46</v>
      </c>
      <c r="I139" s="391">
        <v>53</v>
      </c>
      <c r="J139" s="391">
        <v>56</v>
      </c>
      <c r="K139" s="391">
        <v>64</v>
      </c>
      <c r="L139" s="391">
        <v>68</v>
      </c>
      <c r="M139" s="391">
        <v>75</v>
      </c>
      <c r="N139" s="391">
        <v>79</v>
      </c>
      <c r="O139" s="391">
        <v>82</v>
      </c>
      <c r="P139" s="391">
        <v>85</v>
      </c>
      <c r="Q139" s="391">
        <v>88</v>
      </c>
      <c r="R139" s="391">
        <v>91</v>
      </c>
      <c r="AC139" s="380">
        <v>13</v>
      </c>
      <c r="AD139" s="384">
        <v>43</v>
      </c>
      <c r="AE139" s="384">
        <v>43</v>
      </c>
      <c r="AF139" s="384">
        <v>43</v>
      </c>
      <c r="AG139" s="384">
        <v>43</v>
      </c>
      <c r="AH139" s="384">
        <v>46</v>
      </c>
      <c r="AI139" s="384">
        <v>49</v>
      </c>
      <c r="AJ139" s="384">
        <v>53</v>
      </c>
      <c r="AK139" s="384">
        <v>56</v>
      </c>
      <c r="AL139" s="384">
        <v>60</v>
      </c>
      <c r="AM139" s="384">
        <v>68</v>
      </c>
      <c r="AN139" s="384">
        <v>75</v>
      </c>
      <c r="AO139" s="384">
        <v>79</v>
      </c>
      <c r="AP139" s="384">
        <v>82</v>
      </c>
      <c r="AQ139" s="384">
        <v>85</v>
      </c>
      <c r="AR139" s="384">
        <v>88</v>
      </c>
      <c r="AS139" s="384">
        <v>91</v>
      </c>
      <c r="AT139" s="384">
        <v>94</v>
      </c>
      <c r="BE139" s="380">
        <v>13</v>
      </c>
      <c r="BF139" s="384">
        <v>43</v>
      </c>
      <c r="BG139" s="384">
        <v>43</v>
      </c>
      <c r="BH139" s="384">
        <v>43</v>
      </c>
      <c r="BI139" s="384">
        <v>43</v>
      </c>
      <c r="BJ139" s="384">
        <v>46</v>
      </c>
      <c r="BK139" s="384">
        <v>49</v>
      </c>
      <c r="BL139" s="384">
        <v>53</v>
      </c>
      <c r="BM139" s="384">
        <v>56</v>
      </c>
      <c r="BN139" s="384">
        <v>64</v>
      </c>
      <c r="BO139" s="384">
        <v>68</v>
      </c>
      <c r="BP139" s="384">
        <v>75</v>
      </c>
      <c r="BQ139" s="384">
        <v>79</v>
      </c>
      <c r="BR139" s="384">
        <v>82</v>
      </c>
      <c r="BS139" s="384">
        <v>88</v>
      </c>
      <c r="BT139" s="384">
        <v>91</v>
      </c>
      <c r="BU139" s="384">
        <v>94</v>
      </c>
      <c r="BV139" s="384">
        <v>94</v>
      </c>
      <c r="CG139" s="380">
        <v>13</v>
      </c>
      <c r="CH139" s="384">
        <v>43</v>
      </c>
      <c r="CI139" s="384">
        <v>43</v>
      </c>
      <c r="CJ139" s="384">
        <v>43</v>
      </c>
      <c r="CK139" s="384">
        <v>46</v>
      </c>
      <c r="CL139" s="384">
        <v>49</v>
      </c>
      <c r="CM139" s="384">
        <v>53</v>
      </c>
      <c r="CN139" s="384">
        <v>53</v>
      </c>
      <c r="CO139" s="384">
        <v>56</v>
      </c>
      <c r="CP139" s="384">
        <v>64</v>
      </c>
      <c r="CQ139" s="384">
        <v>68</v>
      </c>
      <c r="CR139" s="384">
        <v>75</v>
      </c>
      <c r="CS139" s="384">
        <v>79</v>
      </c>
      <c r="CT139" s="384">
        <v>82</v>
      </c>
      <c r="CU139" s="384">
        <v>88</v>
      </c>
      <c r="CV139" s="384">
        <v>91</v>
      </c>
      <c r="CW139" s="384">
        <v>94</v>
      </c>
      <c r="CX139" s="384">
        <v>94</v>
      </c>
      <c r="DI139" s="380">
        <v>13</v>
      </c>
      <c r="DJ139" s="384">
        <v>43</v>
      </c>
      <c r="DK139" s="384">
        <v>43</v>
      </c>
      <c r="DL139" s="384">
        <v>43</v>
      </c>
      <c r="DM139" s="384">
        <v>46</v>
      </c>
      <c r="DN139" s="384">
        <v>49</v>
      </c>
      <c r="DO139" s="384">
        <v>53</v>
      </c>
      <c r="DP139" s="384">
        <v>56</v>
      </c>
      <c r="DQ139" s="384">
        <v>60</v>
      </c>
      <c r="DR139" s="384">
        <v>72</v>
      </c>
      <c r="DS139" s="384">
        <v>75</v>
      </c>
      <c r="DT139" s="384">
        <v>82</v>
      </c>
      <c r="DU139" s="384">
        <v>85</v>
      </c>
      <c r="DV139" s="384">
        <v>88</v>
      </c>
      <c r="DW139" s="384">
        <v>91</v>
      </c>
      <c r="DX139" s="384">
        <v>91</v>
      </c>
      <c r="DY139" s="384">
        <v>94</v>
      </c>
      <c r="DZ139" s="384">
        <v>97</v>
      </c>
    </row>
    <row r="140" spans="1:130" x14ac:dyDescent="0.15">
      <c r="A140" s="390">
        <v>14</v>
      </c>
      <c r="B140" s="391">
        <v>40</v>
      </c>
      <c r="C140" s="391">
        <v>40</v>
      </c>
      <c r="D140" s="391">
        <v>40</v>
      </c>
      <c r="E140" s="391">
        <v>40</v>
      </c>
      <c r="F140" s="391">
        <v>40</v>
      </c>
      <c r="G140" s="391">
        <v>43</v>
      </c>
      <c r="H140" s="391">
        <v>46</v>
      </c>
      <c r="I140" s="391">
        <v>53</v>
      </c>
      <c r="J140" s="391">
        <v>56</v>
      </c>
      <c r="K140" s="391">
        <v>64</v>
      </c>
      <c r="L140" s="391">
        <v>68</v>
      </c>
      <c r="M140" s="391">
        <v>75</v>
      </c>
      <c r="N140" s="391">
        <v>79</v>
      </c>
      <c r="O140" s="391">
        <v>82</v>
      </c>
      <c r="P140" s="391">
        <v>85</v>
      </c>
      <c r="Q140" s="391">
        <v>88</v>
      </c>
      <c r="R140" s="391">
        <v>91</v>
      </c>
      <c r="AC140" s="380">
        <v>14</v>
      </c>
      <c r="AD140" s="384">
        <v>43</v>
      </c>
      <c r="AE140" s="384">
        <v>43</v>
      </c>
      <c r="AF140" s="384">
        <v>43</v>
      </c>
      <c r="AG140" s="384">
        <v>43</v>
      </c>
      <c r="AH140" s="384">
        <v>46</v>
      </c>
      <c r="AI140" s="384">
        <v>49</v>
      </c>
      <c r="AJ140" s="384">
        <v>53</v>
      </c>
      <c r="AK140" s="384">
        <v>56</v>
      </c>
      <c r="AL140" s="384">
        <v>60</v>
      </c>
      <c r="AM140" s="384">
        <v>68</v>
      </c>
      <c r="AN140" s="384">
        <v>75</v>
      </c>
      <c r="AO140" s="384">
        <v>79</v>
      </c>
      <c r="AP140" s="384">
        <v>82</v>
      </c>
      <c r="AQ140" s="384">
        <v>85</v>
      </c>
      <c r="AR140" s="384">
        <v>88</v>
      </c>
      <c r="AS140" s="384">
        <v>91</v>
      </c>
      <c r="AT140" s="384">
        <v>94</v>
      </c>
      <c r="BE140" s="380">
        <v>14</v>
      </c>
      <c r="BF140" s="384">
        <v>43</v>
      </c>
      <c r="BG140" s="384">
        <v>43</v>
      </c>
      <c r="BH140" s="384">
        <v>43</v>
      </c>
      <c r="BI140" s="384">
        <v>43</v>
      </c>
      <c r="BJ140" s="384">
        <v>46</v>
      </c>
      <c r="BK140" s="384">
        <v>49</v>
      </c>
      <c r="BL140" s="384">
        <v>53</v>
      </c>
      <c r="BM140" s="384">
        <v>56</v>
      </c>
      <c r="BN140" s="384">
        <v>64</v>
      </c>
      <c r="BO140" s="384">
        <v>68</v>
      </c>
      <c r="BP140" s="384">
        <v>75</v>
      </c>
      <c r="BQ140" s="384">
        <v>79</v>
      </c>
      <c r="BR140" s="384">
        <v>82</v>
      </c>
      <c r="BS140" s="384">
        <v>88</v>
      </c>
      <c r="BT140" s="384">
        <v>91</v>
      </c>
      <c r="BU140" s="384">
        <v>94</v>
      </c>
      <c r="BV140" s="384">
        <v>94</v>
      </c>
      <c r="CG140" s="380">
        <v>14</v>
      </c>
      <c r="CH140" s="384">
        <v>43</v>
      </c>
      <c r="CI140" s="384">
        <v>43</v>
      </c>
      <c r="CJ140" s="384">
        <v>43</v>
      </c>
      <c r="CK140" s="384">
        <v>46</v>
      </c>
      <c r="CL140" s="384">
        <v>49</v>
      </c>
      <c r="CM140" s="384">
        <v>53</v>
      </c>
      <c r="CN140" s="384">
        <v>53</v>
      </c>
      <c r="CO140" s="384">
        <v>56</v>
      </c>
      <c r="CP140" s="384">
        <v>64</v>
      </c>
      <c r="CQ140" s="384">
        <v>68</v>
      </c>
      <c r="CR140" s="384">
        <v>75</v>
      </c>
      <c r="CS140" s="384">
        <v>79</v>
      </c>
      <c r="CT140" s="384">
        <v>82</v>
      </c>
      <c r="CU140" s="384">
        <v>88</v>
      </c>
      <c r="CV140" s="384">
        <v>91</v>
      </c>
      <c r="CW140" s="384">
        <v>94</v>
      </c>
      <c r="CX140" s="384">
        <v>94</v>
      </c>
      <c r="DI140" s="380">
        <v>14</v>
      </c>
      <c r="DJ140" s="384">
        <v>43</v>
      </c>
      <c r="DK140" s="384">
        <v>43</v>
      </c>
      <c r="DL140" s="384">
        <v>43</v>
      </c>
      <c r="DM140" s="384">
        <v>46</v>
      </c>
      <c r="DN140" s="384">
        <v>49</v>
      </c>
      <c r="DO140" s="384">
        <v>53</v>
      </c>
      <c r="DP140" s="384">
        <v>56</v>
      </c>
      <c r="DQ140" s="384">
        <v>60</v>
      </c>
      <c r="DR140" s="384">
        <v>72</v>
      </c>
      <c r="DS140" s="384">
        <v>75</v>
      </c>
      <c r="DT140" s="384">
        <v>82</v>
      </c>
      <c r="DU140" s="384">
        <v>85</v>
      </c>
      <c r="DV140" s="384">
        <v>88</v>
      </c>
      <c r="DW140" s="384">
        <v>91</v>
      </c>
      <c r="DX140" s="384">
        <v>91</v>
      </c>
      <c r="DY140" s="384">
        <v>94</v>
      </c>
      <c r="DZ140" s="384">
        <v>97</v>
      </c>
    </row>
    <row r="141" spans="1:130" x14ac:dyDescent="0.15">
      <c r="A141" s="390">
        <v>15</v>
      </c>
      <c r="B141" s="391">
        <v>40</v>
      </c>
      <c r="C141" s="391">
        <v>40</v>
      </c>
      <c r="D141" s="391">
        <v>40</v>
      </c>
      <c r="E141" s="391">
        <v>40</v>
      </c>
      <c r="F141" s="391">
        <v>40</v>
      </c>
      <c r="G141" s="391">
        <v>43</v>
      </c>
      <c r="H141" s="391">
        <v>46</v>
      </c>
      <c r="I141" s="391">
        <v>53</v>
      </c>
      <c r="J141" s="391">
        <v>56</v>
      </c>
      <c r="K141" s="391">
        <v>64</v>
      </c>
      <c r="L141" s="391">
        <v>68</v>
      </c>
      <c r="M141" s="391">
        <v>75</v>
      </c>
      <c r="N141" s="391">
        <v>79</v>
      </c>
      <c r="O141" s="391">
        <v>82</v>
      </c>
      <c r="P141" s="391">
        <v>85</v>
      </c>
      <c r="Q141" s="391">
        <v>88</v>
      </c>
      <c r="R141" s="391">
        <v>91</v>
      </c>
      <c r="AC141" s="380">
        <v>15</v>
      </c>
      <c r="AD141" s="384">
        <v>43</v>
      </c>
      <c r="AE141" s="384">
        <v>43</v>
      </c>
      <c r="AF141" s="384">
        <v>43</v>
      </c>
      <c r="AG141" s="384">
        <v>43</v>
      </c>
      <c r="AH141" s="384">
        <v>46</v>
      </c>
      <c r="AI141" s="384">
        <v>49</v>
      </c>
      <c r="AJ141" s="384">
        <v>53</v>
      </c>
      <c r="AK141" s="384">
        <v>56</v>
      </c>
      <c r="AL141" s="384">
        <v>60</v>
      </c>
      <c r="AM141" s="384">
        <v>68</v>
      </c>
      <c r="AN141" s="384">
        <v>75</v>
      </c>
      <c r="AO141" s="384">
        <v>79</v>
      </c>
      <c r="AP141" s="384">
        <v>82</v>
      </c>
      <c r="AQ141" s="384">
        <v>85</v>
      </c>
      <c r="AR141" s="384">
        <v>88</v>
      </c>
      <c r="AS141" s="384">
        <v>91</v>
      </c>
      <c r="AT141" s="384">
        <v>94</v>
      </c>
      <c r="BE141" s="380">
        <v>15</v>
      </c>
      <c r="BF141" s="384">
        <v>43</v>
      </c>
      <c r="BG141" s="384">
        <v>43</v>
      </c>
      <c r="BH141" s="384">
        <v>43</v>
      </c>
      <c r="BI141" s="384">
        <v>43</v>
      </c>
      <c r="BJ141" s="384">
        <v>46</v>
      </c>
      <c r="BK141" s="384">
        <v>49</v>
      </c>
      <c r="BL141" s="384">
        <v>53</v>
      </c>
      <c r="BM141" s="384">
        <v>56</v>
      </c>
      <c r="BN141" s="384">
        <v>64</v>
      </c>
      <c r="BO141" s="384">
        <v>68</v>
      </c>
      <c r="BP141" s="384">
        <v>75</v>
      </c>
      <c r="BQ141" s="384">
        <v>79</v>
      </c>
      <c r="BR141" s="384">
        <v>82</v>
      </c>
      <c r="BS141" s="384">
        <v>88</v>
      </c>
      <c r="BT141" s="395">
        <v>91</v>
      </c>
      <c r="BU141" s="384">
        <v>94</v>
      </c>
      <c r="BV141" s="384">
        <v>94</v>
      </c>
      <c r="CG141" s="380">
        <v>15</v>
      </c>
      <c r="CH141" s="384">
        <v>43</v>
      </c>
      <c r="CI141" s="384">
        <v>43</v>
      </c>
      <c r="CJ141" s="384">
        <v>43</v>
      </c>
      <c r="CK141" s="384">
        <v>46</v>
      </c>
      <c r="CL141" s="384">
        <v>49</v>
      </c>
      <c r="CM141" s="384">
        <v>53</v>
      </c>
      <c r="CN141" s="384">
        <v>53</v>
      </c>
      <c r="CO141" s="384">
        <v>56</v>
      </c>
      <c r="CP141" s="384">
        <v>64</v>
      </c>
      <c r="CQ141" s="384">
        <v>68</v>
      </c>
      <c r="CR141" s="384">
        <v>75</v>
      </c>
      <c r="CS141" s="384">
        <v>79</v>
      </c>
      <c r="CT141" s="384">
        <v>82</v>
      </c>
      <c r="CU141" s="384">
        <v>88</v>
      </c>
      <c r="CV141" s="384">
        <v>91</v>
      </c>
      <c r="CW141" s="384">
        <v>94</v>
      </c>
      <c r="CX141" s="384">
        <v>94</v>
      </c>
      <c r="DI141" s="380">
        <v>15</v>
      </c>
      <c r="DJ141" s="384">
        <v>43</v>
      </c>
      <c r="DK141" s="384">
        <v>43</v>
      </c>
      <c r="DL141" s="384">
        <v>43</v>
      </c>
      <c r="DM141" s="384">
        <v>46</v>
      </c>
      <c r="DN141" s="384">
        <v>49</v>
      </c>
      <c r="DO141" s="384">
        <v>53</v>
      </c>
      <c r="DP141" s="384">
        <v>56</v>
      </c>
      <c r="DQ141" s="384">
        <v>60</v>
      </c>
      <c r="DR141" s="384">
        <v>72</v>
      </c>
      <c r="DS141" s="384">
        <v>75</v>
      </c>
      <c r="DT141" s="384">
        <v>82</v>
      </c>
      <c r="DU141" s="384">
        <v>85</v>
      </c>
      <c r="DV141" s="384">
        <v>88</v>
      </c>
      <c r="DW141" s="384">
        <v>91</v>
      </c>
      <c r="DX141" s="384">
        <v>91</v>
      </c>
      <c r="DY141" s="384">
        <v>94</v>
      </c>
      <c r="DZ141" s="384">
        <v>97</v>
      </c>
    </row>
    <row r="142" spans="1:130" x14ac:dyDescent="0.15">
      <c r="A142" s="390">
        <v>16</v>
      </c>
      <c r="B142" s="391">
        <v>40</v>
      </c>
      <c r="C142" s="391">
        <v>40</v>
      </c>
      <c r="D142" s="391">
        <v>40</v>
      </c>
      <c r="E142" s="391">
        <v>40</v>
      </c>
      <c r="F142" s="391">
        <v>40</v>
      </c>
      <c r="G142" s="391">
        <v>43</v>
      </c>
      <c r="H142" s="391">
        <v>46</v>
      </c>
      <c r="I142" s="391">
        <v>53</v>
      </c>
      <c r="J142" s="391">
        <v>56</v>
      </c>
      <c r="K142" s="391">
        <v>64</v>
      </c>
      <c r="L142" s="391">
        <v>68</v>
      </c>
      <c r="M142" s="391">
        <v>75</v>
      </c>
      <c r="N142" s="391">
        <v>79</v>
      </c>
      <c r="O142" s="391">
        <v>82</v>
      </c>
      <c r="P142" s="391">
        <v>85</v>
      </c>
      <c r="Q142" s="391">
        <v>88</v>
      </c>
      <c r="R142" s="391">
        <v>91</v>
      </c>
      <c r="AC142" s="380">
        <v>16</v>
      </c>
      <c r="AD142" s="384">
        <v>43</v>
      </c>
      <c r="AE142" s="384">
        <v>43</v>
      </c>
      <c r="AF142" s="384">
        <v>43</v>
      </c>
      <c r="AG142" s="384">
        <v>43</v>
      </c>
      <c r="AH142" s="384">
        <v>46</v>
      </c>
      <c r="AI142" s="384">
        <v>49</v>
      </c>
      <c r="AJ142" s="384">
        <v>53</v>
      </c>
      <c r="AK142" s="384">
        <v>56</v>
      </c>
      <c r="AL142" s="384">
        <v>60</v>
      </c>
      <c r="AM142" s="384">
        <v>68</v>
      </c>
      <c r="AN142" s="384">
        <v>75</v>
      </c>
      <c r="AO142" s="384">
        <v>79</v>
      </c>
      <c r="AP142" s="384">
        <v>82</v>
      </c>
      <c r="AQ142" s="384">
        <v>85</v>
      </c>
      <c r="AR142" s="384">
        <v>88</v>
      </c>
      <c r="AS142" s="384">
        <v>91</v>
      </c>
      <c r="AT142" s="384">
        <v>94</v>
      </c>
      <c r="BE142" s="380">
        <v>16</v>
      </c>
      <c r="BF142" s="384">
        <v>43</v>
      </c>
      <c r="BG142" s="384">
        <v>43</v>
      </c>
      <c r="BH142" s="384">
        <v>43</v>
      </c>
      <c r="BI142" s="384">
        <v>43</v>
      </c>
      <c r="BJ142" s="384">
        <v>46</v>
      </c>
      <c r="BK142" s="384">
        <v>49</v>
      </c>
      <c r="BL142" s="384">
        <v>53</v>
      </c>
      <c r="BM142" s="384">
        <v>56</v>
      </c>
      <c r="BN142" s="384">
        <v>64</v>
      </c>
      <c r="BO142" s="384">
        <v>68</v>
      </c>
      <c r="BP142" s="384">
        <v>75</v>
      </c>
      <c r="BQ142" s="384">
        <v>79</v>
      </c>
      <c r="BR142" s="384">
        <v>82</v>
      </c>
      <c r="BS142" s="384">
        <v>88</v>
      </c>
      <c r="BT142" s="384">
        <v>91</v>
      </c>
      <c r="BU142" s="384">
        <v>94</v>
      </c>
      <c r="BV142" s="384">
        <v>94</v>
      </c>
      <c r="CG142" s="380">
        <v>16</v>
      </c>
      <c r="CH142" s="384">
        <v>43</v>
      </c>
      <c r="CI142" s="384">
        <v>43</v>
      </c>
      <c r="CJ142" s="384">
        <v>43</v>
      </c>
      <c r="CK142" s="384">
        <v>46</v>
      </c>
      <c r="CL142" s="384">
        <v>49</v>
      </c>
      <c r="CM142" s="384">
        <v>53</v>
      </c>
      <c r="CN142" s="384">
        <v>53</v>
      </c>
      <c r="CO142" s="384">
        <v>56</v>
      </c>
      <c r="CP142" s="384">
        <v>64</v>
      </c>
      <c r="CQ142" s="384">
        <v>68</v>
      </c>
      <c r="CR142" s="384">
        <v>75</v>
      </c>
      <c r="CS142" s="384">
        <v>79</v>
      </c>
      <c r="CT142" s="384">
        <v>82</v>
      </c>
      <c r="CU142" s="384">
        <v>88</v>
      </c>
      <c r="CV142" s="384">
        <v>91</v>
      </c>
      <c r="CW142" s="384">
        <v>94</v>
      </c>
      <c r="CX142" s="384">
        <v>94</v>
      </c>
      <c r="DI142" s="380">
        <v>16</v>
      </c>
      <c r="DJ142" s="384">
        <v>46</v>
      </c>
      <c r="DK142" s="384">
        <v>46</v>
      </c>
      <c r="DL142" s="384">
        <v>46</v>
      </c>
      <c r="DM142" s="384">
        <v>49</v>
      </c>
      <c r="DN142" s="384">
        <v>53</v>
      </c>
      <c r="DO142" s="384">
        <v>56</v>
      </c>
      <c r="DP142" s="384">
        <v>60</v>
      </c>
      <c r="DQ142" s="384">
        <v>64</v>
      </c>
      <c r="DR142" s="384">
        <v>75</v>
      </c>
      <c r="DS142" s="384">
        <v>79</v>
      </c>
      <c r="DT142" s="384">
        <v>85</v>
      </c>
      <c r="DU142" s="384">
        <v>88</v>
      </c>
      <c r="DV142" s="384">
        <v>91</v>
      </c>
      <c r="DW142" s="384">
        <v>94</v>
      </c>
      <c r="DX142" s="384">
        <v>94</v>
      </c>
      <c r="DY142" s="384">
        <v>97</v>
      </c>
      <c r="DZ142" s="384">
        <v>100</v>
      </c>
    </row>
    <row r="143" spans="1:130" x14ac:dyDescent="0.15">
      <c r="A143" s="390">
        <v>17</v>
      </c>
      <c r="B143" s="391">
        <v>40</v>
      </c>
      <c r="C143" s="391">
        <v>40</v>
      </c>
      <c r="D143" s="391">
        <v>40</v>
      </c>
      <c r="E143" s="391">
        <v>40</v>
      </c>
      <c r="F143" s="391">
        <v>40</v>
      </c>
      <c r="G143" s="391">
        <v>43</v>
      </c>
      <c r="H143" s="391">
        <v>46</v>
      </c>
      <c r="I143" s="391">
        <v>53</v>
      </c>
      <c r="J143" s="391">
        <v>56</v>
      </c>
      <c r="K143" s="391">
        <v>64</v>
      </c>
      <c r="L143" s="391">
        <v>68</v>
      </c>
      <c r="M143" s="391">
        <v>75</v>
      </c>
      <c r="N143" s="391">
        <v>79</v>
      </c>
      <c r="O143" s="391">
        <v>82</v>
      </c>
      <c r="P143" s="391">
        <v>85</v>
      </c>
      <c r="Q143" s="391">
        <v>88</v>
      </c>
      <c r="R143" s="391">
        <v>91</v>
      </c>
      <c r="AC143" s="380">
        <v>17</v>
      </c>
      <c r="AD143" s="384">
        <v>43</v>
      </c>
      <c r="AE143" s="384">
        <v>43</v>
      </c>
      <c r="AF143" s="384">
        <v>43</v>
      </c>
      <c r="AG143" s="384">
        <v>43</v>
      </c>
      <c r="AH143" s="384">
        <v>46</v>
      </c>
      <c r="AI143" s="384">
        <v>49</v>
      </c>
      <c r="AJ143" s="384">
        <v>53</v>
      </c>
      <c r="AK143" s="384">
        <v>56</v>
      </c>
      <c r="AL143" s="384">
        <v>60</v>
      </c>
      <c r="AM143" s="384">
        <v>68</v>
      </c>
      <c r="AN143" s="384">
        <v>75</v>
      </c>
      <c r="AO143" s="384">
        <v>79</v>
      </c>
      <c r="AP143" s="384">
        <v>82</v>
      </c>
      <c r="AQ143" s="384">
        <v>85</v>
      </c>
      <c r="AR143" s="384">
        <v>88</v>
      </c>
      <c r="AS143" s="384">
        <v>91</v>
      </c>
      <c r="AT143" s="384">
        <v>94</v>
      </c>
      <c r="BE143" s="380">
        <v>17</v>
      </c>
      <c r="BF143" s="384">
        <v>43</v>
      </c>
      <c r="BG143" s="384">
        <v>43</v>
      </c>
      <c r="BH143" s="384">
        <v>43</v>
      </c>
      <c r="BI143" s="384">
        <v>43</v>
      </c>
      <c r="BJ143" s="384">
        <v>46</v>
      </c>
      <c r="BK143" s="384">
        <v>49</v>
      </c>
      <c r="BL143" s="384">
        <v>53</v>
      </c>
      <c r="BM143" s="384">
        <v>56</v>
      </c>
      <c r="BN143" s="384">
        <v>64</v>
      </c>
      <c r="BO143" s="384">
        <v>68</v>
      </c>
      <c r="BP143" s="384">
        <v>75</v>
      </c>
      <c r="BQ143" s="384">
        <v>79</v>
      </c>
      <c r="BR143" s="384">
        <v>82</v>
      </c>
      <c r="BS143" s="384">
        <v>88</v>
      </c>
      <c r="BT143" s="384">
        <v>91</v>
      </c>
      <c r="BU143" s="384">
        <v>94</v>
      </c>
      <c r="BV143" s="384">
        <v>94</v>
      </c>
      <c r="CG143" s="380">
        <v>17</v>
      </c>
      <c r="CH143" s="384">
        <v>46</v>
      </c>
      <c r="CI143" s="384">
        <v>46</v>
      </c>
      <c r="CJ143" s="384">
        <v>46</v>
      </c>
      <c r="CK143" s="384">
        <v>49</v>
      </c>
      <c r="CL143" s="384">
        <v>53</v>
      </c>
      <c r="CM143" s="384">
        <v>56</v>
      </c>
      <c r="CN143" s="384">
        <v>56</v>
      </c>
      <c r="CO143" s="384">
        <v>60</v>
      </c>
      <c r="CP143" s="384">
        <v>68</v>
      </c>
      <c r="CQ143" s="384">
        <v>72</v>
      </c>
      <c r="CR143" s="384">
        <v>79</v>
      </c>
      <c r="CS143" s="384">
        <v>82</v>
      </c>
      <c r="CT143" s="384">
        <v>85</v>
      </c>
      <c r="CU143" s="384">
        <v>91</v>
      </c>
      <c r="CV143" s="384">
        <v>94</v>
      </c>
      <c r="CW143" s="384">
        <v>97</v>
      </c>
      <c r="CX143" s="384">
        <v>97</v>
      </c>
      <c r="DI143" s="380">
        <v>17</v>
      </c>
      <c r="DJ143" s="384">
        <v>46</v>
      </c>
      <c r="DK143" s="384">
        <v>46</v>
      </c>
      <c r="DL143" s="384">
        <v>46</v>
      </c>
      <c r="DM143" s="384">
        <v>49</v>
      </c>
      <c r="DN143" s="384">
        <v>53</v>
      </c>
      <c r="DO143" s="384">
        <v>56</v>
      </c>
      <c r="DP143" s="384">
        <v>60</v>
      </c>
      <c r="DQ143" s="384">
        <v>64</v>
      </c>
      <c r="DR143" s="384">
        <v>75</v>
      </c>
      <c r="DS143" s="384">
        <v>79</v>
      </c>
      <c r="DT143" s="384">
        <v>85</v>
      </c>
      <c r="DU143" s="384">
        <v>88</v>
      </c>
      <c r="DV143" s="384">
        <v>91</v>
      </c>
      <c r="DW143" s="384">
        <v>94</v>
      </c>
      <c r="DX143" s="384">
        <v>94</v>
      </c>
      <c r="DY143" s="384">
        <v>97</v>
      </c>
      <c r="DZ143" s="384">
        <v>100</v>
      </c>
    </row>
    <row r="144" spans="1:130" x14ac:dyDescent="0.15">
      <c r="A144" s="390">
        <v>18</v>
      </c>
      <c r="B144" s="391">
        <v>40</v>
      </c>
      <c r="C144" s="391">
        <v>40</v>
      </c>
      <c r="D144" s="391">
        <v>40</v>
      </c>
      <c r="E144" s="391">
        <v>40</v>
      </c>
      <c r="F144" s="391">
        <v>40</v>
      </c>
      <c r="G144" s="391">
        <v>43</v>
      </c>
      <c r="H144" s="391">
        <v>46</v>
      </c>
      <c r="I144" s="391">
        <v>53</v>
      </c>
      <c r="J144" s="391">
        <v>56</v>
      </c>
      <c r="K144" s="391">
        <v>64</v>
      </c>
      <c r="L144" s="391">
        <v>68</v>
      </c>
      <c r="M144" s="391">
        <v>75</v>
      </c>
      <c r="N144" s="391">
        <v>79</v>
      </c>
      <c r="O144" s="391">
        <v>82</v>
      </c>
      <c r="P144" s="391">
        <v>85</v>
      </c>
      <c r="Q144" s="391">
        <v>88</v>
      </c>
      <c r="R144" s="391">
        <v>91</v>
      </c>
      <c r="AC144" s="380">
        <v>18</v>
      </c>
      <c r="AD144" s="384">
        <v>43</v>
      </c>
      <c r="AE144" s="384">
        <v>43</v>
      </c>
      <c r="AF144" s="384">
        <v>43</v>
      </c>
      <c r="AG144" s="384">
        <v>43</v>
      </c>
      <c r="AH144" s="384">
        <v>46</v>
      </c>
      <c r="AI144" s="384">
        <v>49</v>
      </c>
      <c r="AJ144" s="384">
        <v>53</v>
      </c>
      <c r="AK144" s="384">
        <v>56</v>
      </c>
      <c r="AL144" s="384">
        <v>60</v>
      </c>
      <c r="AM144" s="384">
        <v>68</v>
      </c>
      <c r="AN144" s="384">
        <v>75</v>
      </c>
      <c r="AO144" s="384">
        <v>79</v>
      </c>
      <c r="AP144" s="384">
        <v>82</v>
      </c>
      <c r="AQ144" s="384">
        <v>85</v>
      </c>
      <c r="AR144" s="384">
        <v>88</v>
      </c>
      <c r="AS144" s="384">
        <v>91</v>
      </c>
      <c r="AT144" s="384">
        <v>94</v>
      </c>
      <c r="BE144" s="380">
        <v>18</v>
      </c>
      <c r="BF144" s="384">
        <v>46</v>
      </c>
      <c r="BG144" s="384">
        <v>46</v>
      </c>
      <c r="BH144" s="384">
        <v>46</v>
      </c>
      <c r="BI144" s="384">
        <v>46</v>
      </c>
      <c r="BJ144" s="384">
        <v>49</v>
      </c>
      <c r="BK144" s="384">
        <v>53</v>
      </c>
      <c r="BL144" s="384">
        <v>56</v>
      </c>
      <c r="BM144" s="384">
        <v>60</v>
      </c>
      <c r="BN144" s="384">
        <v>68</v>
      </c>
      <c r="BO144" s="384">
        <v>72</v>
      </c>
      <c r="BP144" s="384">
        <v>79</v>
      </c>
      <c r="BQ144" s="384">
        <v>82</v>
      </c>
      <c r="BR144" s="384">
        <v>85</v>
      </c>
      <c r="BS144" s="384">
        <v>91</v>
      </c>
      <c r="BT144" s="384">
        <v>94</v>
      </c>
      <c r="BU144" s="384">
        <v>97</v>
      </c>
      <c r="BV144" s="384">
        <v>97</v>
      </c>
      <c r="CG144" s="380">
        <v>18</v>
      </c>
      <c r="CH144" s="384">
        <v>46</v>
      </c>
      <c r="CI144" s="384">
        <v>46</v>
      </c>
      <c r="CJ144" s="384">
        <v>46</v>
      </c>
      <c r="CK144" s="384">
        <v>49</v>
      </c>
      <c r="CL144" s="384">
        <v>53</v>
      </c>
      <c r="CM144" s="384">
        <v>56</v>
      </c>
      <c r="CN144" s="384">
        <v>56</v>
      </c>
      <c r="CO144" s="384">
        <v>60</v>
      </c>
      <c r="CP144" s="384">
        <v>68</v>
      </c>
      <c r="CQ144" s="384">
        <v>72</v>
      </c>
      <c r="CR144" s="384">
        <v>79</v>
      </c>
      <c r="CS144" s="384">
        <v>82</v>
      </c>
      <c r="CT144" s="384">
        <v>85</v>
      </c>
      <c r="CU144" s="384">
        <v>91</v>
      </c>
      <c r="CV144" s="384">
        <v>94</v>
      </c>
      <c r="CW144" s="384">
        <v>97</v>
      </c>
      <c r="CX144" s="384">
        <v>97</v>
      </c>
      <c r="DI144" s="380">
        <v>18</v>
      </c>
      <c r="DJ144" s="384">
        <v>46</v>
      </c>
      <c r="DK144" s="384">
        <v>46</v>
      </c>
      <c r="DL144" s="384">
        <v>46</v>
      </c>
      <c r="DM144" s="384">
        <v>49</v>
      </c>
      <c r="DN144" s="384">
        <v>53</v>
      </c>
      <c r="DO144" s="384">
        <v>56</v>
      </c>
      <c r="DP144" s="384">
        <v>60</v>
      </c>
      <c r="DQ144" s="384">
        <v>64</v>
      </c>
      <c r="DR144" s="384">
        <v>75</v>
      </c>
      <c r="DS144" s="384">
        <v>79</v>
      </c>
      <c r="DT144" s="384">
        <v>85</v>
      </c>
      <c r="DU144" s="384">
        <v>88</v>
      </c>
      <c r="DV144" s="384">
        <v>91</v>
      </c>
      <c r="DW144" s="384">
        <v>94</v>
      </c>
      <c r="DX144" s="384">
        <v>94</v>
      </c>
      <c r="DY144" s="384">
        <v>97</v>
      </c>
      <c r="DZ144" s="384">
        <v>100</v>
      </c>
    </row>
    <row r="145" spans="1:130" x14ac:dyDescent="0.15">
      <c r="A145" s="390">
        <v>19</v>
      </c>
      <c r="B145" s="391">
        <v>40</v>
      </c>
      <c r="C145" s="391">
        <v>40</v>
      </c>
      <c r="D145" s="391">
        <v>40</v>
      </c>
      <c r="E145" s="391">
        <v>40</v>
      </c>
      <c r="F145" s="391">
        <v>40</v>
      </c>
      <c r="G145" s="391">
        <v>43</v>
      </c>
      <c r="H145" s="391">
        <v>46</v>
      </c>
      <c r="I145" s="391">
        <v>53</v>
      </c>
      <c r="J145" s="391">
        <v>56</v>
      </c>
      <c r="K145" s="391">
        <v>64</v>
      </c>
      <c r="L145" s="391">
        <v>68</v>
      </c>
      <c r="M145" s="391">
        <v>75</v>
      </c>
      <c r="N145" s="391">
        <v>79</v>
      </c>
      <c r="O145" s="391">
        <v>82</v>
      </c>
      <c r="P145" s="391">
        <v>85</v>
      </c>
      <c r="Q145" s="391">
        <v>88</v>
      </c>
      <c r="R145" s="391">
        <v>91</v>
      </c>
      <c r="AC145" s="380">
        <v>19</v>
      </c>
      <c r="AD145" s="384">
        <v>46</v>
      </c>
      <c r="AE145" s="384">
        <v>46</v>
      </c>
      <c r="AF145" s="384">
        <v>46</v>
      </c>
      <c r="AG145" s="384">
        <v>46</v>
      </c>
      <c r="AH145" s="384">
        <v>49</v>
      </c>
      <c r="AI145" s="384">
        <v>53</v>
      </c>
      <c r="AJ145" s="384">
        <v>56</v>
      </c>
      <c r="AK145" s="384">
        <v>60</v>
      </c>
      <c r="AL145" s="384">
        <v>64</v>
      </c>
      <c r="AM145" s="384">
        <v>72</v>
      </c>
      <c r="AN145" s="384">
        <v>79</v>
      </c>
      <c r="AO145" s="384">
        <v>82</v>
      </c>
      <c r="AP145" s="384">
        <v>85</v>
      </c>
      <c r="AQ145" s="384">
        <v>88</v>
      </c>
      <c r="AR145" s="384">
        <v>91</v>
      </c>
      <c r="AS145" s="384">
        <v>94</v>
      </c>
      <c r="AT145" s="384">
        <v>97</v>
      </c>
      <c r="BE145" s="380">
        <v>19</v>
      </c>
      <c r="BF145" s="384">
        <v>46</v>
      </c>
      <c r="BG145" s="384">
        <v>46</v>
      </c>
      <c r="BH145" s="384">
        <v>46</v>
      </c>
      <c r="BI145" s="384">
        <v>46</v>
      </c>
      <c r="BJ145" s="384">
        <v>49</v>
      </c>
      <c r="BK145" s="384">
        <v>53</v>
      </c>
      <c r="BL145" s="384">
        <v>56</v>
      </c>
      <c r="BM145" s="384">
        <v>60</v>
      </c>
      <c r="BN145" s="384">
        <v>68</v>
      </c>
      <c r="BO145" s="384">
        <v>72</v>
      </c>
      <c r="BP145" s="384">
        <v>79</v>
      </c>
      <c r="BQ145" s="384">
        <v>82</v>
      </c>
      <c r="BR145" s="384">
        <v>85</v>
      </c>
      <c r="BS145" s="384">
        <v>91</v>
      </c>
      <c r="BT145" s="384">
        <v>94</v>
      </c>
      <c r="BU145" s="384">
        <v>97</v>
      </c>
      <c r="BV145" s="384">
        <v>97</v>
      </c>
      <c r="CG145" s="380">
        <v>19</v>
      </c>
      <c r="CH145" s="384">
        <v>46</v>
      </c>
      <c r="CI145" s="384">
        <v>46</v>
      </c>
      <c r="CJ145" s="384">
        <v>46</v>
      </c>
      <c r="CK145" s="384">
        <v>49</v>
      </c>
      <c r="CL145" s="384">
        <v>53</v>
      </c>
      <c r="CM145" s="384">
        <v>56</v>
      </c>
      <c r="CN145" s="384">
        <v>56</v>
      </c>
      <c r="CO145" s="384">
        <v>60</v>
      </c>
      <c r="CP145" s="384">
        <v>68</v>
      </c>
      <c r="CQ145" s="384">
        <v>72</v>
      </c>
      <c r="CR145" s="384">
        <v>79</v>
      </c>
      <c r="CS145" s="384">
        <v>82</v>
      </c>
      <c r="CT145" s="384">
        <v>85</v>
      </c>
      <c r="CU145" s="384">
        <v>91</v>
      </c>
      <c r="CV145" s="384">
        <v>94</v>
      </c>
      <c r="CW145" s="384">
        <v>97</v>
      </c>
      <c r="CX145" s="384">
        <v>97</v>
      </c>
      <c r="DI145" s="380">
        <v>19</v>
      </c>
      <c r="DJ145" s="384">
        <v>49</v>
      </c>
      <c r="DK145" s="384">
        <v>49</v>
      </c>
      <c r="DL145" s="384">
        <v>49</v>
      </c>
      <c r="DM145" s="384">
        <v>53</v>
      </c>
      <c r="DN145" s="384">
        <v>56</v>
      </c>
      <c r="DO145" s="384">
        <v>60</v>
      </c>
      <c r="DP145" s="384">
        <v>64</v>
      </c>
      <c r="DQ145" s="384">
        <v>68</v>
      </c>
      <c r="DR145" s="384">
        <v>79</v>
      </c>
      <c r="DS145" s="384">
        <v>82</v>
      </c>
      <c r="DT145" s="384">
        <v>88</v>
      </c>
      <c r="DU145" s="384">
        <v>91</v>
      </c>
      <c r="DV145" s="384">
        <v>94</v>
      </c>
      <c r="DW145" s="384">
        <v>97</v>
      </c>
      <c r="DX145" s="384">
        <v>97</v>
      </c>
      <c r="DY145" s="384">
        <v>100</v>
      </c>
      <c r="DZ145" s="384">
        <v>103</v>
      </c>
    </row>
    <row r="146" spans="1:130" x14ac:dyDescent="0.15">
      <c r="A146" s="390">
        <v>20</v>
      </c>
      <c r="B146" s="391">
        <v>40</v>
      </c>
      <c r="C146" s="391">
        <v>40</v>
      </c>
      <c r="D146" s="391">
        <v>40</v>
      </c>
      <c r="E146" s="391">
        <v>40</v>
      </c>
      <c r="F146" s="391">
        <v>40</v>
      </c>
      <c r="G146" s="391">
        <v>43</v>
      </c>
      <c r="H146" s="391">
        <v>46</v>
      </c>
      <c r="I146" s="391">
        <v>53</v>
      </c>
      <c r="J146" s="391">
        <v>56</v>
      </c>
      <c r="K146" s="391">
        <v>64</v>
      </c>
      <c r="L146" s="391">
        <v>68</v>
      </c>
      <c r="M146" s="391">
        <v>75</v>
      </c>
      <c r="N146" s="391">
        <v>79</v>
      </c>
      <c r="O146" s="391">
        <v>82</v>
      </c>
      <c r="P146" s="391">
        <v>85</v>
      </c>
      <c r="Q146" s="391">
        <v>88</v>
      </c>
      <c r="R146" s="391">
        <v>91</v>
      </c>
      <c r="AC146" s="380">
        <v>20</v>
      </c>
      <c r="AD146" s="384">
        <v>46</v>
      </c>
      <c r="AE146" s="384">
        <v>46</v>
      </c>
      <c r="AF146" s="384">
        <v>46</v>
      </c>
      <c r="AG146" s="384">
        <v>46</v>
      </c>
      <c r="AH146" s="384">
        <v>49</v>
      </c>
      <c r="AI146" s="384">
        <v>53</v>
      </c>
      <c r="AJ146" s="384">
        <v>56</v>
      </c>
      <c r="AK146" s="384">
        <v>60</v>
      </c>
      <c r="AL146" s="384">
        <v>64</v>
      </c>
      <c r="AM146" s="384">
        <v>72</v>
      </c>
      <c r="AN146" s="384">
        <v>79</v>
      </c>
      <c r="AO146" s="384">
        <v>82</v>
      </c>
      <c r="AP146" s="384">
        <v>85</v>
      </c>
      <c r="AQ146" s="384">
        <v>88</v>
      </c>
      <c r="AR146" s="384">
        <v>91</v>
      </c>
      <c r="AS146" s="384">
        <v>94</v>
      </c>
      <c r="AT146" s="384">
        <v>97</v>
      </c>
      <c r="BE146" s="380">
        <v>20</v>
      </c>
      <c r="BF146" s="384">
        <v>46</v>
      </c>
      <c r="BG146" s="384">
        <v>46</v>
      </c>
      <c r="BH146" s="384">
        <v>46</v>
      </c>
      <c r="BI146" s="384">
        <v>46</v>
      </c>
      <c r="BJ146" s="384">
        <v>49</v>
      </c>
      <c r="BK146" s="384">
        <v>53</v>
      </c>
      <c r="BL146" s="384">
        <v>56</v>
      </c>
      <c r="BM146" s="384">
        <v>60</v>
      </c>
      <c r="BN146" s="384">
        <v>68</v>
      </c>
      <c r="BO146" s="384">
        <v>72</v>
      </c>
      <c r="BP146" s="384">
        <v>79</v>
      </c>
      <c r="BQ146" s="384">
        <v>82</v>
      </c>
      <c r="BR146" s="384">
        <v>85</v>
      </c>
      <c r="BS146" s="384">
        <v>91</v>
      </c>
      <c r="BT146" s="384">
        <v>94</v>
      </c>
      <c r="BU146" s="384">
        <v>97</v>
      </c>
      <c r="BV146" s="384">
        <v>97</v>
      </c>
      <c r="CG146" s="380">
        <v>20</v>
      </c>
      <c r="CH146" s="384">
        <v>49</v>
      </c>
      <c r="CI146" s="384">
        <v>49</v>
      </c>
      <c r="CJ146" s="384">
        <v>49</v>
      </c>
      <c r="CK146" s="384">
        <v>53</v>
      </c>
      <c r="CL146" s="384">
        <v>56</v>
      </c>
      <c r="CM146" s="384">
        <v>60</v>
      </c>
      <c r="CN146" s="384">
        <v>60</v>
      </c>
      <c r="CO146" s="384">
        <v>64</v>
      </c>
      <c r="CP146" s="384">
        <v>72</v>
      </c>
      <c r="CQ146" s="384">
        <v>75</v>
      </c>
      <c r="CR146" s="384">
        <v>82</v>
      </c>
      <c r="CS146" s="384">
        <v>85</v>
      </c>
      <c r="CT146" s="384">
        <v>88</v>
      </c>
      <c r="CU146" s="384">
        <v>94</v>
      </c>
      <c r="CV146" s="384">
        <v>97</v>
      </c>
      <c r="CW146" s="384">
        <v>100</v>
      </c>
      <c r="CX146" s="384">
        <v>100</v>
      </c>
      <c r="DI146" s="380">
        <v>20</v>
      </c>
      <c r="DJ146" s="384">
        <v>49</v>
      </c>
      <c r="DK146" s="384">
        <v>49</v>
      </c>
      <c r="DL146" s="384">
        <v>49</v>
      </c>
      <c r="DM146" s="384">
        <v>53</v>
      </c>
      <c r="DN146" s="384">
        <v>56</v>
      </c>
      <c r="DO146" s="384">
        <v>60</v>
      </c>
      <c r="DP146" s="384">
        <v>64</v>
      </c>
      <c r="DQ146" s="384">
        <v>68</v>
      </c>
      <c r="DR146" s="384">
        <v>79</v>
      </c>
      <c r="DS146" s="384">
        <v>82</v>
      </c>
      <c r="DT146" s="384">
        <v>88</v>
      </c>
      <c r="DU146" s="384">
        <v>91</v>
      </c>
      <c r="DV146" s="384">
        <v>94</v>
      </c>
      <c r="DW146" s="384">
        <v>97</v>
      </c>
      <c r="DX146" s="384">
        <v>97</v>
      </c>
      <c r="DY146" s="384">
        <v>100</v>
      </c>
      <c r="DZ146" s="384">
        <v>103</v>
      </c>
    </row>
    <row r="147" spans="1:130" x14ac:dyDescent="0.15">
      <c r="A147" s="390">
        <v>21</v>
      </c>
      <c r="B147" s="391">
        <v>43</v>
      </c>
      <c r="C147" s="391">
        <v>43</v>
      </c>
      <c r="D147" s="391">
        <v>43</v>
      </c>
      <c r="E147" s="391">
        <v>43</v>
      </c>
      <c r="F147" s="391">
        <v>43</v>
      </c>
      <c r="G147" s="391">
        <v>46</v>
      </c>
      <c r="H147" s="391">
        <v>49</v>
      </c>
      <c r="I147" s="391">
        <v>56</v>
      </c>
      <c r="J147" s="391">
        <v>60</v>
      </c>
      <c r="K147" s="391">
        <v>68</v>
      </c>
      <c r="L147" s="391">
        <v>72</v>
      </c>
      <c r="M147" s="391">
        <v>79</v>
      </c>
      <c r="N147" s="391">
        <v>82</v>
      </c>
      <c r="O147" s="391">
        <v>85</v>
      </c>
      <c r="P147" s="391">
        <v>88</v>
      </c>
      <c r="Q147" s="391">
        <v>91</v>
      </c>
      <c r="R147" s="391">
        <v>94</v>
      </c>
      <c r="AC147" s="380">
        <v>21</v>
      </c>
      <c r="AD147" s="384">
        <v>46</v>
      </c>
      <c r="AE147" s="384">
        <v>46</v>
      </c>
      <c r="AF147" s="384">
        <v>46</v>
      </c>
      <c r="AG147" s="384">
        <v>46</v>
      </c>
      <c r="AH147" s="384">
        <v>49</v>
      </c>
      <c r="AI147" s="384">
        <v>53</v>
      </c>
      <c r="AJ147" s="384">
        <v>56</v>
      </c>
      <c r="AK147" s="384">
        <v>60</v>
      </c>
      <c r="AL147" s="384">
        <v>64</v>
      </c>
      <c r="AM147" s="384">
        <v>72</v>
      </c>
      <c r="AN147" s="384">
        <v>79</v>
      </c>
      <c r="AO147" s="384">
        <v>82</v>
      </c>
      <c r="AP147" s="384">
        <v>85</v>
      </c>
      <c r="AQ147" s="384">
        <v>88</v>
      </c>
      <c r="AR147" s="384">
        <v>91</v>
      </c>
      <c r="AS147" s="384">
        <v>94</v>
      </c>
      <c r="AT147" s="384">
        <v>97</v>
      </c>
      <c r="BE147" s="380">
        <v>21</v>
      </c>
      <c r="BF147" s="384">
        <v>46</v>
      </c>
      <c r="BG147" s="384">
        <v>46</v>
      </c>
      <c r="BH147" s="384">
        <v>46</v>
      </c>
      <c r="BI147" s="384">
        <v>46</v>
      </c>
      <c r="BJ147" s="384">
        <v>49</v>
      </c>
      <c r="BK147" s="384">
        <v>53</v>
      </c>
      <c r="BL147" s="384">
        <v>56</v>
      </c>
      <c r="BM147" s="384">
        <v>60</v>
      </c>
      <c r="BN147" s="384">
        <v>68</v>
      </c>
      <c r="BO147" s="384">
        <v>72</v>
      </c>
      <c r="BP147" s="384">
        <v>79</v>
      </c>
      <c r="BQ147" s="384">
        <v>82</v>
      </c>
      <c r="BR147" s="384">
        <v>85</v>
      </c>
      <c r="BS147" s="384">
        <v>91</v>
      </c>
      <c r="BT147" s="384">
        <v>94</v>
      </c>
      <c r="BU147" s="384">
        <v>97</v>
      </c>
      <c r="BV147" s="384">
        <v>97</v>
      </c>
      <c r="CG147" s="380">
        <v>21</v>
      </c>
      <c r="CH147" s="384">
        <v>49</v>
      </c>
      <c r="CI147" s="384">
        <v>49</v>
      </c>
      <c r="CJ147" s="384">
        <v>49</v>
      </c>
      <c r="CK147" s="384">
        <v>53</v>
      </c>
      <c r="CL147" s="384">
        <v>56</v>
      </c>
      <c r="CM147" s="384">
        <v>60</v>
      </c>
      <c r="CN147" s="384">
        <v>60</v>
      </c>
      <c r="CO147" s="384">
        <v>64</v>
      </c>
      <c r="CP147" s="384">
        <v>72</v>
      </c>
      <c r="CQ147" s="384">
        <v>75</v>
      </c>
      <c r="CR147" s="384">
        <v>82</v>
      </c>
      <c r="CS147" s="384">
        <v>85</v>
      </c>
      <c r="CT147" s="384">
        <v>88</v>
      </c>
      <c r="CU147" s="384">
        <v>94</v>
      </c>
      <c r="CV147" s="384">
        <v>97</v>
      </c>
      <c r="CW147" s="384">
        <v>100</v>
      </c>
      <c r="CX147" s="384">
        <v>100</v>
      </c>
      <c r="DI147" s="380">
        <v>21</v>
      </c>
      <c r="DJ147" s="384">
        <v>49</v>
      </c>
      <c r="DK147" s="384">
        <v>49</v>
      </c>
      <c r="DL147" s="384">
        <v>49</v>
      </c>
      <c r="DM147" s="384">
        <v>53</v>
      </c>
      <c r="DN147" s="384">
        <v>56</v>
      </c>
      <c r="DO147" s="384">
        <v>60</v>
      </c>
      <c r="DP147" s="384">
        <v>64</v>
      </c>
      <c r="DQ147" s="384">
        <v>68</v>
      </c>
      <c r="DR147" s="384">
        <v>79</v>
      </c>
      <c r="DS147" s="384">
        <v>82</v>
      </c>
      <c r="DT147" s="384">
        <v>88</v>
      </c>
      <c r="DU147" s="384">
        <v>91</v>
      </c>
      <c r="DV147" s="384">
        <v>94</v>
      </c>
      <c r="DW147" s="384">
        <v>97</v>
      </c>
      <c r="DX147" s="384">
        <v>97</v>
      </c>
      <c r="DY147" s="384">
        <v>100</v>
      </c>
      <c r="DZ147" s="384">
        <v>103</v>
      </c>
    </row>
    <row r="148" spans="1:130" x14ac:dyDescent="0.15">
      <c r="A148" s="390">
        <v>22</v>
      </c>
      <c r="B148" s="391">
        <v>43</v>
      </c>
      <c r="C148" s="391">
        <v>43</v>
      </c>
      <c r="D148" s="391">
        <v>43</v>
      </c>
      <c r="E148" s="391">
        <v>43</v>
      </c>
      <c r="F148" s="391">
        <v>43</v>
      </c>
      <c r="G148" s="391">
        <v>46</v>
      </c>
      <c r="H148" s="391">
        <v>49</v>
      </c>
      <c r="I148" s="391">
        <v>56</v>
      </c>
      <c r="J148" s="391">
        <v>60</v>
      </c>
      <c r="K148" s="391">
        <v>68</v>
      </c>
      <c r="L148" s="391">
        <v>72</v>
      </c>
      <c r="M148" s="391">
        <v>79</v>
      </c>
      <c r="N148" s="391">
        <v>82</v>
      </c>
      <c r="O148" s="391">
        <v>85</v>
      </c>
      <c r="P148" s="391">
        <v>88</v>
      </c>
      <c r="Q148" s="391">
        <v>91</v>
      </c>
      <c r="R148" s="391">
        <v>94</v>
      </c>
      <c r="AC148" s="380">
        <v>22</v>
      </c>
      <c r="AD148" s="384">
        <v>46</v>
      </c>
      <c r="AE148" s="384">
        <v>46</v>
      </c>
      <c r="AF148" s="384">
        <v>46</v>
      </c>
      <c r="AG148" s="384">
        <v>46</v>
      </c>
      <c r="AH148" s="384">
        <v>49</v>
      </c>
      <c r="AI148" s="384">
        <v>53</v>
      </c>
      <c r="AJ148" s="384">
        <v>56</v>
      </c>
      <c r="AK148" s="384">
        <v>60</v>
      </c>
      <c r="AL148" s="384">
        <v>64</v>
      </c>
      <c r="AM148" s="384">
        <v>72</v>
      </c>
      <c r="AN148" s="384">
        <v>79</v>
      </c>
      <c r="AO148" s="384">
        <v>82</v>
      </c>
      <c r="AP148" s="384">
        <v>85</v>
      </c>
      <c r="AQ148" s="384">
        <v>88</v>
      </c>
      <c r="AR148" s="384">
        <v>91</v>
      </c>
      <c r="AS148" s="384">
        <v>94</v>
      </c>
      <c r="AT148" s="384">
        <v>97</v>
      </c>
      <c r="BE148" s="380">
        <v>22</v>
      </c>
      <c r="BF148" s="384">
        <v>46</v>
      </c>
      <c r="BG148" s="384">
        <v>46</v>
      </c>
      <c r="BH148" s="384">
        <v>46</v>
      </c>
      <c r="BI148" s="384">
        <v>46</v>
      </c>
      <c r="BJ148" s="384">
        <v>49</v>
      </c>
      <c r="BK148" s="384">
        <v>53</v>
      </c>
      <c r="BL148" s="384">
        <v>56</v>
      </c>
      <c r="BM148" s="384">
        <v>60</v>
      </c>
      <c r="BN148" s="384">
        <v>68</v>
      </c>
      <c r="BO148" s="384">
        <v>72</v>
      </c>
      <c r="BP148" s="384">
        <v>79</v>
      </c>
      <c r="BQ148" s="384">
        <v>82</v>
      </c>
      <c r="BR148" s="384">
        <v>85</v>
      </c>
      <c r="BS148" s="384">
        <v>91</v>
      </c>
      <c r="BT148" s="384">
        <v>94</v>
      </c>
      <c r="BU148" s="384">
        <v>97</v>
      </c>
      <c r="BV148" s="384">
        <v>97</v>
      </c>
      <c r="CG148" s="380">
        <v>22</v>
      </c>
      <c r="CH148" s="384">
        <v>49</v>
      </c>
      <c r="CI148" s="384">
        <v>49</v>
      </c>
      <c r="CJ148" s="384">
        <v>49</v>
      </c>
      <c r="CK148" s="384">
        <v>53</v>
      </c>
      <c r="CL148" s="384">
        <v>56</v>
      </c>
      <c r="CM148" s="384">
        <v>60</v>
      </c>
      <c r="CN148" s="384">
        <v>60</v>
      </c>
      <c r="CO148" s="384">
        <v>64</v>
      </c>
      <c r="CP148" s="384">
        <v>72</v>
      </c>
      <c r="CQ148" s="384">
        <v>75</v>
      </c>
      <c r="CR148" s="384">
        <v>82</v>
      </c>
      <c r="CS148" s="384">
        <v>85</v>
      </c>
      <c r="CT148" s="384">
        <v>88</v>
      </c>
      <c r="CU148" s="384">
        <v>94</v>
      </c>
      <c r="CV148" s="384">
        <v>97</v>
      </c>
      <c r="CW148" s="384">
        <v>100</v>
      </c>
      <c r="CX148" s="384">
        <v>100</v>
      </c>
      <c r="DI148" s="380">
        <v>22</v>
      </c>
      <c r="DJ148" s="384">
        <v>53</v>
      </c>
      <c r="DK148" s="384">
        <v>53</v>
      </c>
      <c r="DL148" s="384">
        <v>53</v>
      </c>
      <c r="DM148" s="384">
        <v>56</v>
      </c>
      <c r="DN148" s="384">
        <v>60</v>
      </c>
      <c r="DO148" s="384">
        <v>64</v>
      </c>
      <c r="DP148" s="384">
        <v>68</v>
      </c>
      <c r="DQ148" s="384">
        <v>72</v>
      </c>
      <c r="DR148" s="384">
        <v>82</v>
      </c>
      <c r="DS148" s="384">
        <v>85</v>
      </c>
      <c r="DT148" s="384">
        <v>91</v>
      </c>
      <c r="DU148" s="384">
        <v>94</v>
      </c>
      <c r="DV148" s="384">
        <v>97</v>
      </c>
      <c r="DW148" s="384">
        <v>100</v>
      </c>
      <c r="DX148" s="384">
        <v>100</v>
      </c>
      <c r="DY148" s="384">
        <v>103</v>
      </c>
      <c r="DZ148" s="384">
        <v>106</v>
      </c>
    </row>
    <row r="149" spans="1:130" x14ac:dyDescent="0.15">
      <c r="A149" s="390">
        <v>23</v>
      </c>
      <c r="B149" s="391">
        <v>43</v>
      </c>
      <c r="C149" s="391">
        <v>43</v>
      </c>
      <c r="D149" s="391">
        <v>43</v>
      </c>
      <c r="E149" s="391">
        <v>43</v>
      </c>
      <c r="F149" s="391">
        <v>43</v>
      </c>
      <c r="G149" s="391">
        <v>46</v>
      </c>
      <c r="H149" s="391">
        <v>49</v>
      </c>
      <c r="I149" s="391">
        <v>56</v>
      </c>
      <c r="J149" s="391">
        <v>60</v>
      </c>
      <c r="K149" s="391">
        <v>68</v>
      </c>
      <c r="L149" s="391">
        <v>72</v>
      </c>
      <c r="M149" s="391">
        <v>79</v>
      </c>
      <c r="N149" s="391">
        <v>82</v>
      </c>
      <c r="O149" s="391">
        <v>85</v>
      </c>
      <c r="P149" s="391">
        <v>88</v>
      </c>
      <c r="Q149" s="391">
        <v>91</v>
      </c>
      <c r="R149" s="391">
        <v>94</v>
      </c>
      <c r="AC149" s="380">
        <v>23</v>
      </c>
      <c r="AD149" s="384">
        <v>46</v>
      </c>
      <c r="AE149" s="384">
        <v>46</v>
      </c>
      <c r="AF149" s="384">
        <v>46</v>
      </c>
      <c r="AG149" s="384">
        <v>46</v>
      </c>
      <c r="AH149" s="384">
        <v>49</v>
      </c>
      <c r="AI149" s="384">
        <v>53</v>
      </c>
      <c r="AJ149" s="384">
        <v>56</v>
      </c>
      <c r="AK149" s="384">
        <v>60</v>
      </c>
      <c r="AL149" s="384">
        <v>64</v>
      </c>
      <c r="AM149" s="384">
        <v>72</v>
      </c>
      <c r="AN149" s="384">
        <v>79</v>
      </c>
      <c r="AO149" s="384">
        <v>82</v>
      </c>
      <c r="AP149" s="384">
        <v>85</v>
      </c>
      <c r="AQ149" s="384">
        <v>88</v>
      </c>
      <c r="AR149" s="384">
        <v>91</v>
      </c>
      <c r="AS149" s="384">
        <v>94</v>
      </c>
      <c r="AT149" s="384">
        <v>97</v>
      </c>
      <c r="BE149" s="380">
        <v>23</v>
      </c>
      <c r="BF149" s="384">
        <v>46</v>
      </c>
      <c r="BG149" s="384">
        <v>46</v>
      </c>
      <c r="BH149" s="384">
        <v>46</v>
      </c>
      <c r="BI149" s="384">
        <v>46</v>
      </c>
      <c r="BJ149" s="384">
        <v>49</v>
      </c>
      <c r="BK149" s="384">
        <v>53</v>
      </c>
      <c r="BL149" s="384">
        <v>56</v>
      </c>
      <c r="BM149" s="384">
        <v>60</v>
      </c>
      <c r="BN149" s="384">
        <v>68</v>
      </c>
      <c r="BO149" s="384">
        <v>72</v>
      </c>
      <c r="BP149" s="384">
        <v>79</v>
      </c>
      <c r="BQ149" s="384">
        <v>82</v>
      </c>
      <c r="BR149" s="384">
        <v>85</v>
      </c>
      <c r="BS149" s="384">
        <v>91</v>
      </c>
      <c r="BT149" s="384">
        <v>94</v>
      </c>
      <c r="BU149" s="384">
        <v>97</v>
      </c>
      <c r="BV149" s="384">
        <v>97</v>
      </c>
      <c r="CG149" s="380">
        <v>23</v>
      </c>
      <c r="CH149" s="384">
        <v>53</v>
      </c>
      <c r="CI149" s="384">
        <v>53</v>
      </c>
      <c r="CJ149" s="384">
        <v>53</v>
      </c>
      <c r="CK149" s="384">
        <v>56</v>
      </c>
      <c r="CL149" s="384">
        <v>60</v>
      </c>
      <c r="CM149" s="384">
        <v>64</v>
      </c>
      <c r="CN149" s="384">
        <v>64</v>
      </c>
      <c r="CO149" s="384">
        <v>68</v>
      </c>
      <c r="CP149" s="384">
        <v>75</v>
      </c>
      <c r="CQ149" s="384">
        <v>79</v>
      </c>
      <c r="CR149" s="384">
        <v>85</v>
      </c>
      <c r="CS149" s="384">
        <v>88</v>
      </c>
      <c r="CT149" s="384">
        <v>91</v>
      </c>
      <c r="CU149" s="384">
        <v>97</v>
      </c>
      <c r="CV149" s="384">
        <v>100</v>
      </c>
      <c r="CW149" s="384">
        <v>103</v>
      </c>
      <c r="CX149" s="384">
        <v>103</v>
      </c>
      <c r="DI149" s="380">
        <v>23</v>
      </c>
      <c r="DJ149" s="384">
        <v>53</v>
      </c>
      <c r="DK149" s="384">
        <v>53</v>
      </c>
      <c r="DL149" s="384">
        <v>53</v>
      </c>
      <c r="DM149" s="384">
        <v>56</v>
      </c>
      <c r="DN149" s="384">
        <v>60</v>
      </c>
      <c r="DO149" s="384">
        <v>64</v>
      </c>
      <c r="DP149" s="384">
        <v>68</v>
      </c>
      <c r="DQ149" s="384">
        <v>72</v>
      </c>
      <c r="DR149" s="384">
        <v>82</v>
      </c>
      <c r="DS149" s="384">
        <v>85</v>
      </c>
      <c r="DT149" s="384">
        <v>91</v>
      </c>
      <c r="DU149" s="384">
        <v>94</v>
      </c>
      <c r="DV149" s="384">
        <v>97</v>
      </c>
      <c r="DW149" s="384">
        <v>100</v>
      </c>
      <c r="DX149" s="384">
        <v>100</v>
      </c>
      <c r="DY149" s="384">
        <v>103</v>
      </c>
      <c r="DZ149" s="384">
        <v>106</v>
      </c>
    </row>
    <row r="150" spans="1:130" x14ac:dyDescent="0.15">
      <c r="A150" s="390">
        <v>24</v>
      </c>
      <c r="B150" s="391">
        <v>43</v>
      </c>
      <c r="C150" s="391">
        <v>43</v>
      </c>
      <c r="D150" s="391">
        <v>43</v>
      </c>
      <c r="E150" s="391">
        <v>43</v>
      </c>
      <c r="F150" s="391">
        <v>43</v>
      </c>
      <c r="G150" s="391">
        <v>46</v>
      </c>
      <c r="H150" s="391">
        <v>49</v>
      </c>
      <c r="I150" s="391">
        <v>56</v>
      </c>
      <c r="J150" s="391">
        <v>60</v>
      </c>
      <c r="K150" s="391">
        <v>68</v>
      </c>
      <c r="L150" s="391">
        <v>72</v>
      </c>
      <c r="M150" s="391">
        <v>79</v>
      </c>
      <c r="N150" s="391">
        <v>82</v>
      </c>
      <c r="O150" s="391">
        <v>85</v>
      </c>
      <c r="P150" s="391">
        <v>88</v>
      </c>
      <c r="Q150" s="391">
        <v>91</v>
      </c>
      <c r="R150" s="391">
        <v>94</v>
      </c>
      <c r="AC150" s="380">
        <v>24</v>
      </c>
      <c r="AD150" s="384">
        <v>46</v>
      </c>
      <c r="AE150" s="384">
        <v>46</v>
      </c>
      <c r="AF150" s="384">
        <v>46</v>
      </c>
      <c r="AG150" s="384">
        <v>46</v>
      </c>
      <c r="AH150" s="384">
        <v>49</v>
      </c>
      <c r="AI150" s="384">
        <v>53</v>
      </c>
      <c r="AJ150" s="384">
        <v>56</v>
      </c>
      <c r="AK150" s="384">
        <v>60</v>
      </c>
      <c r="AL150" s="384">
        <v>64</v>
      </c>
      <c r="AM150" s="384">
        <v>72</v>
      </c>
      <c r="AN150" s="384">
        <v>79</v>
      </c>
      <c r="AO150" s="384">
        <v>82</v>
      </c>
      <c r="AP150" s="384">
        <v>85</v>
      </c>
      <c r="AQ150" s="384">
        <v>88</v>
      </c>
      <c r="AR150" s="384">
        <v>91</v>
      </c>
      <c r="AS150" s="384">
        <v>94</v>
      </c>
      <c r="AT150" s="384">
        <v>97</v>
      </c>
      <c r="BE150" s="380">
        <v>24</v>
      </c>
      <c r="BF150" s="384">
        <v>49</v>
      </c>
      <c r="BG150" s="384">
        <v>49</v>
      </c>
      <c r="BH150" s="384">
        <v>49</v>
      </c>
      <c r="BI150" s="384">
        <v>49</v>
      </c>
      <c r="BJ150" s="384">
        <v>53</v>
      </c>
      <c r="BK150" s="384">
        <v>56</v>
      </c>
      <c r="BL150" s="384">
        <v>60</v>
      </c>
      <c r="BM150" s="384">
        <v>64</v>
      </c>
      <c r="BN150" s="384">
        <v>72</v>
      </c>
      <c r="BO150" s="384">
        <v>75</v>
      </c>
      <c r="BP150" s="384">
        <v>82</v>
      </c>
      <c r="BQ150" s="384">
        <v>85</v>
      </c>
      <c r="BR150" s="384">
        <v>88</v>
      </c>
      <c r="BS150" s="384">
        <v>94</v>
      </c>
      <c r="BT150" s="384">
        <v>97</v>
      </c>
      <c r="BU150" s="384">
        <v>100</v>
      </c>
      <c r="BV150" s="384">
        <v>100</v>
      </c>
      <c r="CG150" s="380">
        <v>24</v>
      </c>
      <c r="CH150" s="384">
        <v>53</v>
      </c>
      <c r="CI150" s="384">
        <v>53</v>
      </c>
      <c r="CJ150" s="384">
        <v>53</v>
      </c>
      <c r="CK150" s="384">
        <v>56</v>
      </c>
      <c r="CL150" s="384">
        <v>60</v>
      </c>
      <c r="CM150" s="384">
        <v>64</v>
      </c>
      <c r="CN150" s="384">
        <v>64</v>
      </c>
      <c r="CO150" s="384">
        <v>68</v>
      </c>
      <c r="CP150" s="384">
        <v>75</v>
      </c>
      <c r="CQ150" s="384">
        <v>79</v>
      </c>
      <c r="CR150" s="384">
        <v>85</v>
      </c>
      <c r="CS150" s="384">
        <v>88</v>
      </c>
      <c r="CT150" s="384">
        <v>91</v>
      </c>
      <c r="CU150" s="384">
        <v>97</v>
      </c>
      <c r="CV150" s="384">
        <v>100</v>
      </c>
      <c r="CW150" s="384">
        <v>103</v>
      </c>
      <c r="CX150" s="384">
        <v>103</v>
      </c>
      <c r="DI150" s="380">
        <v>24</v>
      </c>
      <c r="DJ150" s="384">
        <v>56</v>
      </c>
      <c r="DK150" s="384">
        <v>56</v>
      </c>
      <c r="DL150" s="384">
        <v>56</v>
      </c>
      <c r="DM150" s="384">
        <v>60</v>
      </c>
      <c r="DN150" s="384">
        <v>64</v>
      </c>
      <c r="DO150" s="384">
        <v>68</v>
      </c>
      <c r="DP150" s="384">
        <v>72</v>
      </c>
      <c r="DQ150" s="384">
        <v>75</v>
      </c>
      <c r="DR150" s="384">
        <v>85</v>
      </c>
      <c r="DS150" s="384">
        <v>88</v>
      </c>
      <c r="DT150" s="384">
        <v>94</v>
      </c>
      <c r="DU150" s="384">
        <v>97</v>
      </c>
      <c r="DV150" s="384">
        <v>100</v>
      </c>
      <c r="DW150" s="384">
        <v>103</v>
      </c>
      <c r="DX150" s="384">
        <v>103</v>
      </c>
      <c r="DY150" s="384">
        <v>106</v>
      </c>
      <c r="DZ150" s="384">
        <v>109</v>
      </c>
    </row>
    <row r="151" spans="1:130" x14ac:dyDescent="0.15">
      <c r="A151" s="390">
        <v>25</v>
      </c>
      <c r="B151" s="391">
        <v>46</v>
      </c>
      <c r="C151" s="391">
        <v>46</v>
      </c>
      <c r="D151" s="391">
        <v>46</v>
      </c>
      <c r="E151" s="391">
        <v>46</v>
      </c>
      <c r="F151" s="391">
        <v>46</v>
      </c>
      <c r="G151" s="391">
        <v>49</v>
      </c>
      <c r="H151" s="391">
        <v>53</v>
      </c>
      <c r="I151" s="391">
        <v>60</v>
      </c>
      <c r="J151" s="391">
        <v>64</v>
      </c>
      <c r="K151" s="391">
        <v>72</v>
      </c>
      <c r="L151" s="391">
        <v>75</v>
      </c>
      <c r="M151" s="391">
        <v>82</v>
      </c>
      <c r="N151" s="391">
        <v>85</v>
      </c>
      <c r="O151" s="391">
        <v>88</v>
      </c>
      <c r="P151" s="391">
        <v>91</v>
      </c>
      <c r="Q151" s="391">
        <v>94</v>
      </c>
      <c r="R151" s="391">
        <v>97</v>
      </c>
      <c r="AC151" s="380">
        <v>25</v>
      </c>
      <c r="AD151" s="384">
        <v>46</v>
      </c>
      <c r="AE151" s="384">
        <v>46</v>
      </c>
      <c r="AF151" s="384">
        <v>46</v>
      </c>
      <c r="AG151" s="384">
        <v>46</v>
      </c>
      <c r="AH151" s="384">
        <v>49</v>
      </c>
      <c r="AI151" s="384">
        <v>53</v>
      </c>
      <c r="AJ151" s="384">
        <v>56</v>
      </c>
      <c r="AK151" s="384">
        <v>60</v>
      </c>
      <c r="AL151" s="384">
        <v>64</v>
      </c>
      <c r="AM151" s="384">
        <v>72</v>
      </c>
      <c r="AN151" s="384">
        <v>79</v>
      </c>
      <c r="AO151" s="384">
        <v>82</v>
      </c>
      <c r="AP151" s="384">
        <v>85</v>
      </c>
      <c r="AQ151" s="384">
        <v>88</v>
      </c>
      <c r="AR151" s="384">
        <v>91</v>
      </c>
      <c r="AS151" s="384">
        <v>94</v>
      </c>
      <c r="AT151" s="384">
        <v>97</v>
      </c>
      <c r="BE151" s="380">
        <v>25</v>
      </c>
      <c r="BF151" s="384">
        <v>49</v>
      </c>
      <c r="BG151" s="384">
        <v>49</v>
      </c>
      <c r="BH151" s="384">
        <v>49</v>
      </c>
      <c r="BI151" s="384">
        <v>49</v>
      </c>
      <c r="BJ151" s="384">
        <v>53</v>
      </c>
      <c r="BK151" s="384">
        <v>56</v>
      </c>
      <c r="BL151" s="384">
        <v>60</v>
      </c>
      <c r="BM151" s="384">
        <v>64</v>
      </c>
      <c r="BN151" s="384">
        <v>72</v>
      </c>
      <c r="BO151" s="384">
        <v>75</v>
      </c>
      <c r="BP151" s="384">
        <v>82</v>
      </c>
      <c r="BQ151" s="384">
        <v>85</v>
      </c>
      <c r="BR151" s="384">
        <v>88</v>
      </c>
      <c r="BS151" s="384">
        <v>94</v>
      </c>
      <c r="BT151" s="384">
        <v>97</v>
      </c>
      <c r="BU151" s="384">
        <v>100</v>
      </c>
      <c r="BV151" s="384">
        <v>100</v>
      </c>
      <c r="CG151" s="380">
        <v>25</v>
      </c>
      <c r="CH151" s="384">
        <v>56</v>
      </c>
      <c r="CI151" s="384">
        <v>56</v>
      </c>
      <c r="CJ151" s="384">
        <v>56</v>
      </c>
      <c r="CK151" s="384">
        <v>60</v>
      </c>
      <c r="CL151" s="384">
        <v>64</v>
      </c>
      <c r="CM151" s="384">
        <v>68</v>
      </c>
      <c r="CN151" s="384">
        <v>68</v>
      </c>
      <c r="CO151" s="384">
        <v>72</v>
      </c>
      <c r="CP151" s="384">
        <v>79</v>
      </c>
      <c r="CQ151" s="384">
        <v>82</v>
      </c>
      <c r="CR151" s="384">
        <v>88</v>
      </c>
      <c r="CS151" s="384">
        <v>91</v>
      </c>
      <c r="CT151" s="384">
        <v>94</v>
      </c>
      <c r="CU151" s="384">
        <v>100</v>
      </c>
      <c r="CV151" s="384">
        <v>103</v>
      </c>
      <c r="CW151" s="384">
        <v>106</v>
      </c>
      <c r="CX151" s="384">
        <v>106</v>
      </c>
      <c r="DI151" s="380">
        <v>25</v>
      </c>
      <c r="DJ151" s="384">
        <v>56</v>
      </c>
      <c r="DK151" s="384">
        <v>56</v>
      </c>
      <c r="DL151" s="384">
        <v>56</v>
      </c>
      <c r="DM151" s="384">
        <v>60</v>
      </c>
      <c r="DN151" s="384">
        <v>64</v>
      </c>
      <c r="DO151" s="384">
        <v>68</v>
      </c>
      <c r="DP151" s="384">
        <v>72</v>
      </c>
      <c r="DQ151" s="384">
        <v>75</v>
      </c>
      <c r="DR151" s="384">
        <v>85</v>
      </c>
      <c r="DS151" s="384">
        <v>88</v>
      </c>
      <c r="DT151" s="384">
        <v>94</v>
      </c>
      <c r="DU151" s="384">
        <v>97</v>
      </c>
      <c r="DV151" s="384">
        <v>100</v>
      </c>
      <c r="DW151" s="384">
        <v>103</v>
      </c>
      <c r="DX151" s="384">
        <v>103</v>
      </c>
      <c r="DY151" s="384">
        <v>106</v>
      </c>
      <c r="DZ151" s="384">
        <v>109</v>
      </c>
    </row>
    <row r="152" spans="1:130" x14ac:dyDescent="0.15">
      <c r="A152" s="390">
        <v>26</v>
      </c>
      <c r="B152" s="391">
        <v>46</v>
      </c>
      <c r="C152" s="391">
        <v>46</v>
      </c>
      <c r="D152" s="391">
        <v>46</v>
      </c>
      <c r="E152" s="391">
        <v>46</v>
      </c>
      <c r="F152" s="391">
        <v>46</v>
      </c>
      <c r="G152" s="391">
        <v>49</v>
      </c>
      <c r="H152" s="391">
        <v>53</v>
      </c>
      <c r="I152" s="391">
        <v>60</v>
      </c>
      <c r="J152" s="391">
        <v>64</v>
      </c>
      <c r="K152" s="391">
        <v>72</v>
      </c>
      <c r="L152" s="391">
        <v>75</v>
      </c>
      <c r="M152" s="391">
        <v>82</v>
      </c>
      <c r="N152" s="391">
        <v>85</v>
      </c>
      <c r="O152" s="391">
        <v>88</v>
      </c>
      <c r="P152" s="391">
        <v>91</v>
      </c>
      <c r="Q152" s="391">
        <v>94</v>
      </c>
      <c r="R152" s="391">
        <v>97</v>
      </c>
      <c r="AC152" s="380">
        <v>26</v>
      </c>
      <c r="AD152" s="384">
        <v>49</v>
      </c>
      <c r="AE152" s="384">
        <v>49</v>
      </c>
      <c r="AF152" s="384">
        <v>49</v>
      </c>
      <c r="AG152" s="384">
        <v>49</v>
      </c>
      <c r="AH152" s="384">
        <v>53</v>
      </c>
      <c r="AI152" s="384">
        <v>56</v>
      </c>
      <c r="AJ152" s="384">
        <v>60</v>
      </c>
      <c r="AK152" s="384">
        <v>64</v>
      </c>
      <c r="AL152" s="384">
        <v>68</v>
      </c>
      <c r="AM152" s="384">
        <v>75</v>
      </c>
      <c r="AN152" s="384">
        <v>82</v>
      </c>
      <c r="AO152" s="384">
        <v>85</v>
      </c>
      <c r="AP152" s="384">
        <v>88</v>
      </c>
      <c r="AQ152" s="384">
        <v>91</v>
      </c>
      <c r="AR152" s="384">
        <v>94</v>
      </c>
      <c r="AS152" s="384">
        <v>97</v>
      </c>
      <c r="AT152" s="384">
        <v>100</v>
      </c>
      <c r="BE152" s="380">
        <v>26</v>
      </c>
      <c r="BF152" s="384">
        <v>49</v>
      </c>
      <c r="BG152" s="384">
        <v>49</v>
      </c>
      <c r="BH152" s="384">
        <v>49</v>
      </c>
      <c r="BI152" s="384">
        <v>49</v>
      </c>
      <c r="BJ152" s="384">
        <v>53</v>
      </c>
      <c r="BK152" s="384">
        <v>56</v>
      </c>
      <c r="BL152" s="384">
        <v>60</v>
      </c>
      <c r="BM152" s="384">
        <v>64</v>
      </c>
      <c r="BN152" s="384">
        <v>72</v>
      </c>
      <c r="BO152" s="384">
        <v>75</v>
      </c>
      <c r="BP152" s="384">
        <v>82</v>
      </c>
      <c r="BQ152" s="384">
        <v>85</v>
      </c>
      <c r="BR152" s="384">
        <v>88</v>
      </c>
      <c r="BS152" s="384">
        <v>94</v>
      </c>
      <c r="BT152" s="384">
        <v>97</v>
      </c>
      <c r="BU152" s="384">
        <v>100</v>
      </c>
      <c r="BV152" s="384">
        <v>100</v>
      </c>
      <c r="CG152" s="380">
        <v>26</v>
      </c>
      <c r="CH152" s="384">
        <v>56</v>
      </c>
      <c r="CI152" s="384">
        <v>56</v>
      </c>
      <c r="CJ152" s="384">
        <v>56</v>
      </c>
      <c r="CK152" s="384">
        <v>60</v>
      </c>
      <c r="CL152" s="384">
        <v>64</v>
      </c>
      <c r="CM152" s="384">
        <v>68</v>
      </c>
      <c r="CN152" s="384">
        <v>68</v>
      </c>
      <c r="CO152" s="384">
        <v>72</v>
      </c>
      <c r="CP152" s="384">
        <v>79</v>
      </c>
      <c r="CQ152" s="384">
        <v>82</v>
      </c>
      <c r="CR152" s="384">
        <v>88</v>
      </c>
      <c r="CS152" s="384">
        <v>91</v>
      </c>
      <c r="CT152" s="384">
        <v>94</v>
      </c>
      <c r="CU152" s="384">
        <v>100</v>
      </c>
      <c r="CV152" s="384">
        <v>103</v>
      </c>
      <c r="CW152" s="384">
        <v>106</v>
      </c>
      <c r="CX152" s="384">
        <v>106</v>
      </c>
      <c r="DI152" s="380">
        <v>26</v>
      </c>
      <c r="DJ152" s="384">
        <v>56</v>
      </c>
      <c r="DK152" s="384">
        <v>56</v>
      </c>
      <c r="DL152" s="384">
        <v>56</v>
      </c>
      <c r="DM152" s="384">
        <v>60</v>
      </c>
      <c r="DN152" s="384">
        <v>64</v>
      </c>
      <c r="DO152" s="384">
        <v>68</v>
      </c>
      <c r="DP152" s="384">
        <v>72</v>
      </c>
      <c r="DQ152" s="384">
        <v>75</v>
      </c>
      <c r="DR152" s="384">
        <v>85</v>
      </c>
      <c r="DS152" s="384">
        <v>88</v>
      </c>
      <c r="DT152" s="384">
        <v>94</v>
      </c>
      <c r="DU152" s="384">
        <v>97</v>
      </c>
      <c r="DV152" s="384">
        <v>100</v>
      </c>
      <c r="DW152" s="384">
        <v>103</v>
      </c>
      <c r="DX152" s="384">
        <v>103</v>
      </c>
      <c r="DY152" s="384">
        <v>106</v>
      </c>
      <c r="DZ152" s="384">
        <v>109</v>
      </c>
    </row>
    <row r="153" spans="1:130" x14ac:dyDescent="0.15">
      <c r="A153" s="390">
        <v>27</v>
      </c>
      <c r="B153" s="391">
        <v>46</v>
      </c>
      <c r="C153" s="391">
        <v>46</v>
      </c>
      <c r="D153" s="391">
        <v>46</v>
      </c>
      <c r="E153" s="391">
        <v>46</v>
      </c>
      <c r="F153" s="391">
        <v>46</v>
      </c>
      <c r="G153" s="391">
        <v>49</v>
      </c>
      <c r="H153" s="391">
        <v>53</v>
      </c>
      <c r="I153" s="391">
        <v>60</v>
      </c>
      <c r="J153" s="391">
        <v>64</v>
      </c>
      <c r="K153" s="391">
        <v>72</v>
      </c>
      <c r="L153" s="391">
        <v>75</v>
      </c>
      <c r="M153" s="391">
        <v>82</v>
      </c>
      <c r="N153" s="391">
        <v>85</v>
      </c>
      <c r="O153" s="391">
        <v>88</v>
      </c>
      <c r="P153" s="391">
        <v>91</v>
      </c>
      <c r="Q153" s="391">
        <v>94</v>
      </c>
      <c r="R153" s="391">
        <v>97</v>
      </c>
      <c r="AC153" s="380">
        <v>27</v>
      </c>
      <c r="AD153" s="384">
        <v>49</v>
      </c>
      <c r="AE153" s="384">
        <v>49</v>
      </c>
      <c r="AF153" s="384">
        <v>49</v>
      </c>
      <c r="AG153" s="384">
        <v>49</v>
      </c>
      <c r="AH153" s="384">
        <v>53</v>
      </c>
      <c r="AI153" s="384">
        <v>56</v>
      </c>
      <c r="AJ153" s="384">
        <v>60</v>
      </c>
      <c r="AK153" s="384">
        <v>64</v>
      </c>
      <c r="AL153" s="384">
        <v>68</v>
      </c>
      <c r="AM153" s="384">
        <v>75</v>
      </c>
      <c r="AN153" s="384">
        <v>82</v>
      </c>
      <c r="AO153" s="384">
        <v>85</v>
      </c>
      <c r="AP153" s="384">
        <v>88</v>
      </c>
      <c r="AQ153" s="384">
        <v>91</v>
      </c>
      <c r="AR153" s="384">
        <v>94</v>
      </c>
      <c r="AS153" s="384">
        <v>97</v>
      </c>
      <c r="AT153" s="384">
        <v>100</v>
      </c>
      <c r="BE153" s="380">
        <v>27</v>
      </c>
      <c r="BF153" s="384">
        <v>49</v>
      </c>
      <c r="BG153" s="384">
        <v>49</v>
      </c>
      <c r="BH153" s="384">
        <v>49</v>
      </c>
      <c r="BI153" s="384">
        <v>49</v>
      </c>
      <c r="BJ153" s="384">
        <v>53</v>
      </c>
      <c r="BK153" s="384">
        <v>56</v>
      </c>
      <c r="BL153" s="384">
        <v>60</v>
      </c>
      <c r="BM153" s="384">
        <v>64</v>
      </c>
      <c r="BN153" s="384">
        <v>72</v>
      </c>
      <c r="BO153" s="384">
        <v>75</v>
      </c>
      <c r="BP153" s="384">
        <v>82</v>
      </c>
      <c r="BQ153" s="384">
        <v>85</v>
      </c>
      <c r="BR153" s="384">
        <v>88</v>
      </c>
      <c r="BS153" s="384">
        <v>94</v>
      </c>
      <c r="BT153" s="384">
        <v>97</v>
      </c>
      <c r="BU153" s="384">
        <v>100</v>
      </c>
      <c r="BV153" s="384">
        <v>100</v>
      </c>
      <c r="CG153" s="380">
        <v>27</v>
      </c>
      <c r="CH153" s="384">
        <v>56</v>
      </c>
      <c r="CI153" s="384">
        <v>56</v>
      </c>
      <c r="CJ153" s="384">
        <v>56</v>
      </c>
      <c r="CK153" s="384">
        <v>60</v>
      </c>
      <c r="CL153" s="384">
        <v>64</v>
      </c>
      <c r="CM153" s="384">
        <v>68</v>
      </c>
      <c r="CN153" s="384">
        <v>68</v>
      </c>
      <c r="CO153" s="384">
        <v>72</v>
      </c>
      <c r="CP153" s="384">
        <v>79</v>
      </c>
      <c r="CQ153" s="384">
        <v>82</v>
      </c>
      <c r="CR153" s="384">
        <v>88</v>
      </c>
      <c r="CS153" s="384">
        <v>91</v>
      </c>
      <c r="CT153" s="384">
        <v>94</v>
      </c>
      <c r="CU153" s="384">
        <v>100</v>
      </c>
      <c r="CV153" s="384">
        <v>103</v>
      </c>
      <c r="CW153" s="384">
        <v>106</v>
      </c>
      <c r="CX153" s="384">
        <v>106</v>
      </c>
      <c r="DI153" s="380">
        <v>27</v>
      </c>
      <c r="DJ153" s="384">
        <v>60</v>
      </c>
      <c r="DK153" s="384">
        <v>60</v>
      </c>
      <c r="DL153" s="384">
        <v>60</v>
      </c>
      <c r="DM153" s="384">
        <v>64</v>
      </c>
      <c r="DN153" s="384">
        <v>68</v>
      </c>
      <c r="DO153" s="384">
        <v>72</v>
      </c>
      <c r="DP153" s="384">
        <v>75</v>
      </c>
      <c r="DQ153" s="384">
        <v>79</v>
      </c>
      <c r="DR153" s="384">
        <v>88</v>
      </c>
      <c r="DS153" s="384">
        <v>91</v>
      </c>
      <c r="DT153" s="384">
        <v>97</v>
      </c>
      <c r="DU153" s="384">
        <v>100</v>
      </c>
      <c r="DV153" s="384">
        <v>103</v>
      </c>
      <c r="DW153" s="384">
        <v>106</v>
      </c>
      <c r="DX153" s="384">
        <v>106</v>
      </c>
      <c r="DY153" s="384">
        <v>109</v>
      </c>
      <c r="DZ153" s="384">
        <v>112</v>
      </c>
    </row>
    <row r="154" spans="1:130" x14ac:dyDescent="0.15">
      <c r="A154" s="390">
        <v>28</v>
      </c>
      <c r="B154" s="391">
        <v>46</v>
      </c>
      <c r="C154" s="391">
        <v>46</v>
      </c>
      <c r="D154" s="391">
        <v>46</v>
      </c>
      <c r="E154" s="391">
        <v>46</v>
      </c>
      <c r="F154" s="391">
        <v>46</v>
      </c>
      <c r="G154" s="391">
        <v>49</v>
      </c>
      <c r="H154" s="391">
        <v>53</v>
      </c>
      <c r="I154" s="391">
        <v>60</v>
      </c>
      <c r="J154" s="391">
        <v>64</v>
      </c>
      <c r="K154" s="391">
        <v>72</v>
      </c>
      <c r="L154" s="391">
        <v>75</v>
      </c>
      <c r="M154" s="391">
        <v>82</v>
      </c>
      <c r="N154" s="391">
        <v>85</v>
      </c>
      <c r="O154" s="391">
        <v>88</v>
      </c>
      <c r="P154" s="391">
        <v>91</v>
      </c>
      <c r="Q154" s="391">
        <v>94</v>
      </c>
      <c r="R154" s="391">
        <v>97</v>
      </c>
      <c r="AC154" s="380">
        <v>28</v>
      </c>
      <c r="AD154" s="384">
        <v>49</v>
      </c>
      <c r="AE154" s="384">
        <v>49</v>
      </c>
      <c r="AF154" s="384">
        <v>49</v>
      </c>
      <c r="AG154" s="384">
        <v>49</v>
      </c>
      <c r="AH154" s="384">
        <v>53</v>
      </c>
      <c r="AI154" s="384">
        <v>56</v>
      </c>
      <c r="AJ154" s="384">
        <v>60</v>
      </c>
      <c r="AK154" s="384">
        <v>64</v>
      </c>
      <c r="AL154" s="384">
        <v>68</v>
      </c>
      <c r="AM154" s="384">
        <v>75</v>
      </c>
      <c r="AN154" s="384">
        <v>82</v>
      </c>
      <c r="AO154" s="384">
        <v>85</v>
      </c>
      <c r="AP154" s="384">
        <v>88</v>
      </c>
      <c r="AQ154" s="384">
        <v>91</v>
      </c>
      <c r="AR154" s="384">
        <v>94</v>
      </c>
      <c r="AS154" s="384">
        <v>97</v>
      </c>
      <c r="AT154" s="384">
        <v>100</v>
      </c>
      <c r="BE154" s="380">
        <v>28</v>
      </c>
      <c r="BF154" s="384">
        <v>53</v>
      </c>
      <c r="BG154" s="384">
        <v>53</v>
      </c>
      <c r="BH154" s="384">
        <v>53</v>
      </c>
      <c r="BI154" s="384">
        <v>53</v>
      </c>
      <c r="BJ154" s="384">
        <v>56</v>
      </c>
      <c r="BK154" s="384">
        <v>60</v>
      </c>
      <c r="BL154" s="384">
        <v>64</v>
      </c>
      <c r="BM154" s="384">
        <v>68</v>
      </c>
      <c r="BN154" s="384">
        <v>75</v>
      </c>
      <c r="BO154" s="384">
        <v>79</v>
      </c>
      <c r="BP154" s="384">
        <v>85</v>
      </c>
      <c r="BQ154" s="384">
        <v>88</v>
      </c>
      <c r="BR154" s="384">
        <v>91</v>
      </c>
      <c r="BS154" s="384">
        <v>97</v>
      </c>
      <c r="BT154" s="384">
        <v>100</v>
      </c>
      <c r="BU154" s="384">
        <v>103</v>
      </c>
      <c r="BV154" s="384">
        <v>103</v>
      </c>
      <c r="CG154" s="380">
        <v>28</v>
      </c>
      <c r="CH154" s="384">
        <v>60</v>
      </c>
      <c r="CI154" s="384">
        <v>60</v>
      </c>
      <c r="CJ154" s="384">
        <v>60</v>
      </c>
      <c r="CK154" s="384">
        <v>64</v>
      </c>
      <c r="CL154" s="384">
        <v>68</v>
      </c>
      <c r="CM154" s="384">
        <v>72</v>
      </c>
      <c r="CN154" s="384">
        <v>72</v>
      </c>
      <c r="CO154" s="384">
        <v>75</v>
      </c>
      <c r="CP154" s="384">
        <v>82</v>
      </c>
      <c r="CQ154" s="384">
        <v>85</v>
      </c>
      <c r="CR154" s="384">
        <v>91</v>
      </c>
      <c r="CS154" s="384">
        <v>94</v>
      </c>
      <c r="CT154" s="384">
        <v>97</v>
      </c>
      <c r="CU154" s="384">
        <v>103</v>
      </c>
      <c r="CV154" s="384">
        <v>106</v>
      </c>
      <c r="CW154" s="384">
        <v>109</v>
      </c>
      <c r="CX154" s="384">
        <v>109</v>
      </c>
      <c r="DI154" s="380">
        <v>28</v>
      </c>
      <c r="DJ154" s="384">
        <v>60</v>
      </c>
      <c r="DK154" s="384">
        <v>60</v>
      </c>
      <c r="DL154" s="384">
        <v>60</v>
      </c>
      <c r="DM154" s="384">
        <v>64</v>
      </c>
      <c r="DN154" s="384">
        <v>68</v>
      </c>
      <c r="DO154" s="384">
        <v>72</v>
      </c>
      <c r="DP154" s="384">
        <v>75</v>
      </c>
      <c r="DQ154" s="384">
        <v>79</v>
      </c>
      <c r="DR154" s="384">
        <v>88</v>
      </c>
      <c r="DS154" s="384">
        <v>91</v>
      </c>
      <c r="DT154" s="384">
        <v>97</v>
      </c>
      <c r="DU154" s="384">
        <v>100</v>
      </c>
      <c r="DV154" s="384">
        <v>103</v>
      </c>
      <c r="DW154" s="384">
        <v>106</v>
      </c>
      <c r="DX154" s="384">
        <v>106</v>
      </c>
      <c r="DY154" s="384">
        <v>109</v>
      </c>
      <c r="DZ154" s="384">
        <v>112</v>
      </c>
    </row>
    <row r="155" spans="1:130" x14ac:dyDescent="0.15">
      <c r="A155" s="390">
        <v>29</v>
      </c>
      <c r="B155" s="391">
        <v>46</v>
      </c>
      <c r="C155" s="391">
        <v>46</v>
      </c>
      <c r="D155" s="391">
        <v>46</v>
      </c>
      <c r="E155" s="391">
        <v>46</v>
      </c>
      <c r="F155" s="391">
        <v>46</v>
      </c>
      <c r="G155" s="391">
        <v>49</v>
      </c>
      <c r="H155" s="391">
        <v>53</v>
      </c>
      <c r="I155" s="391">
        <v>60</v>
      </c>
      <c r="J155" s="391">
        <v>64</v>
      </c>
      <c r="K155" s="391">
        <v>72</v>
      </c>
      <c r="L155" s="391">
        <v>75</v>
      </c>
      <c r="M155" s="391">
        <v>82</v>
      </c>
      <c r="N155" s="391">
        <v>85</v>
      </c>
      <c r="O155" s="391">
        <v>88</v>
      </c>
      <c r="P155" s="391">
        <v>91</v>
      </c>
      <c r="Q155" s="391">
        <v>94</v>
      </c>
      <c r="R155" s="391">
        <v>97</v>
      </c>
      <c r="AC155" s="380">
        <v>29</v>
      </c>
      <c r="AD155" s="384">
        <v>49</v>
      </c>
      <c r="AE155" s="384">
        <v>49</v>
      </c>
      <c r="AF155" s="384">
        <v>49</v>
      </c>
      <c r="AG155" s="384">
        <v>49</v>
      </c>
      <c r="AH155" s="384">
        <v>53</v>
      </c>
      <c r="AI155" s="384">
        <v>56</v>
      </c>
      <c r="AJ155" s="384">
        <v>60</v>
      </c>
      <c r="AK155" s="384">
        <v>64</v>
      </c>
      <c r="AL155" s="384">
        <v>68</v>
      </c>
      <c r="AM155" s="384">
        <v>75</v>
      </c>
      <c r="AN155" s="384">
        <v>82</v>
      </c>
      <c r="AO155" s="384">
        <v>85</v>
      </c>
      <c r="AP155" s="384">
        <v>88</v>
      </c>
      <c r="AQ155" s="384">
        <v>91</v>
      </c>
      <c r="AR155" s="384">
        <v>94</v>
      </c>
      <c r="AS155" s="384">
        <v>97</v>
      </c>
      <c r="AT155" s="384">
        <v>100</v>
      </c>
      <c r="BE155" s="380">
        <v>29</v>
      </c>
      <c r="BF155" s="384">
        <v>53</v>
      </c>
      <c r="BG155" s="384">
        <v>53</v>
      </c>
      <c r="BH155" s="384">
        <v>53</v>
      </c>
      <c r="BI155" s="384">
        <v>53</v>
      </c>
      <c r="BJ155" s="384">
        <v>56</v>
      </c>
      <c r="BK155" s="384">
        <v>60</v>
      </c>
      <c r="BL155" s="384">
        <v>64</v>
      </c>
      <c r="BM155" s="384">
        <v>68</v>
      </c>
      <c r="BN155" s="384">
        <v>75</v>
      </c>
      <c r="BO155" s="384">
        <v>79</v>
      </c>
      <c r="BP155" s="384">
        <v>85</v>
      </c>
      <c r="BQ155" s="384">
        <v>88</v>
      </c>
      <c r="BR155" s="384">
        <v>91</v>
      </c>
      <c r="BS155" s="384">
        <v>97</v>
      </c>
      <c r="BT155" s="384">
        <v>100</v>
      </c>
      <c r="BU155" s="384">
        <v>103</v>
      </c>
      <c r="BV155" s="384">
        <v>103</v>
      </c>
      <c r="CG155" s="380">
        <v>29</v>
      </c>
      <c r="CH155" s="384">
        <v>60</v>
      </c>
      <c r="CI155" s="384">
        <v>60</v>
      </c>
      <c r="CJ155" s="384">
        <v>60</v>
      </c>
      <c r="CK155" s="384">
        <v>64</v>
      </c>
      <c r="CL155" s="384">
        <v>68</v>
      </c>
      <c r="CM155" s="384">
        <v>72</v>
      </c>
      <c r="CN155" s="384">
        <v>72</v>
      </c>
      <c r="CO155" s="384">
        <v>75</v>
      </c>
      <c r="CP155" s="384">
        <v>82</v>
      </c>
      <c r="CQ155" s="384">
        <v>85</v>
      </c>
      <c r="CR155" s="384">
        <v>91</v>
      </c>
      <c r="CS155" s="384">
        <v>94</v>
      </c>
      <c r="CT155" s="384">
        <v>97</v>
      </c>
      <c r="CU155" s="384">
        <v>103</v>
      </c>
      <c r="CV155" s="384">
        <v>106</v>
      </c>
      <c r="CW155" s="384">
        <v>109</v>
      </c>
      <c r="CX155" s="384">
        <v>109</v>
      </c>
      <c r="DI155" s="380">
        <v>29</v>
      </c>
      <c r="DJ155" s="384">
        <v>64</v>
      </c>
      <c r="DK155" s="384">
        <v>64</v>
      </c>
      <c r="DL155" s="384">
        <v>64</v>
      </c>
      <c r="DM155" s="384">
        <v>68</v>
      </c>
      <c r="DN155" s="384">
        <v>72</v>
      </c>
      <c r="DO155" s="384">
        <v>75</v>
      </c>
      <c r="DP155" s="384">
        <v>79</v>
      </c>
      <c r="DQ155" s="384">
        <v>82</v>
      </c>
      <c r="DR155" s="384">
        <v>91</v>
      </c>
      <c r="DS155" s="384">
        <v>94</v>
      </c>
      <c r="DT155" s="384">
        <v>100</v>
      </c>
      <c r="DU155" s="384">
        <v>103</v>
      </c>
      <c r="DV155" s="384">
        <v>106</v>
      </c>
      <c r="DW155" s="384">
        <v>109</v>
      </c>
      <c r="DX155" s="384">
        <v>109</v>
      </c>
      <c r="DY155" s="384">
        <v>112</v>
      </c>
      <c r="DZ155" s="384">
        <v>115</v>
      </c>
    </row>
    <row r="156" spans="1:130" x14ac:dyDescent="0.15">
      <c r="A156" s="390">
        <v>30</v>
      </c>
      <c r="B156" s="391">
        <v>49</v>
      </c>
      <c r="C156" s="391">
        <v>49</v>
      </c>
      <c r="D156" s="391">
        <v>49</v>
      </c>
      <c r="E156" s="391">
        <v>49</v>
      </c>
      <c r="F156" s="391">
        <v>49</v>
      </c>
      <c r="G156" s="391">
        <v>53</v>
      </c>
      <c r="H156" s="391">
        <v>56</v>
      </c>
      <c r="I156" s="391">
        <v>64</v>
      </c>
      <c r="J156" s="391">
        <v>68</v>
      </c>
      <c r="K156" s="391">
        <v>75</v>
      </c>
      <c r="L156" s="391">
        <v>79</v>
      </c>
      <c r="M156" s="391">
        <v>85</v>
      </c>
      <c r="N156" s="391">
        <v>88</v>
      </c>
      <c r="O156" s="391">
        <v>91</v>
      </c>
      <c r="P156" s="391">
        <v>94</v>
      </c>
      <c r="Q156" s="391">
        <v>97</v>
      </c>
      <c r="R156" s="391">
        <v>100</v>
      </c>
      <c r="AC156" s="380">
        <v>30</v>
      </c>
      <c r="AD156" s="384">
        <v>49</v>
      </c>
      <c r="AE156" s="384">
        <v>49</v>
      </c>
      <c r="AF156" s="384">
        <v>49</v>
      </c>
      <c r="AG156" s="384">
        <v>49</v>
      </c>
      <c r="AH156" s="384">
        <v>53</v>
      </c>
      <c r="AI156" s="384">
        <v>56</v>
      </c>
      <c r="AJ156" s="384">
        <v>60</v>
      </c>
      <c r="AK156" s="384">
        <v>64</v>
      </c>
      <c r="AL156" s="384">
        <v>68</v>
      </c>
      <c r="AM156" s="384">
        <v>75</v>
      </c>
      <c r="AN156" s="384">
        <v>82</v>
      </c>
      <c r="AO156" s="384">
        <v>85</v>
      </c>
      <c r="AP156" s="384">
        <v>88</v>
      </c>
      <c r="AQ156" s="384">
        <v>91</v>
      </c>
      <c r="AR156" s="384">
        <v>94</v>
      </c>
      <c r="AS156" s="384">
        <v>97</v>
      </c>
      <c r="AT156" s="384">
        <v>100</v>
      </c>
      <c r="BE156" s="380">
        <v>30</v>
      </c>
      <c r="BF156" s="384">
        <v>53</v>
      </c>
      <c r="BG156" s="384">
        <v>53</v>
      </c>
      <c r="BH156" s="384">
        <v>53</v>
      </c>
      <c r="BI156" s="384">
        <v>53</v>
      </c>
      <c r="BJ156" s="384">
        <v>56</v>
      </c>
      <c r="BK156" s="384">
        <v>60</v>
      </c>
      <c r="BL156" s="384">
        <v>64</v>
      </c>
      <c r="BM156" s="384">
        <v>68</v>
      </c>
      <c r="BN156" s="384">
        <v>75</v>
      </c>
      <c r="BO156" s="384">
        <v>79</v>
      </c>
      <c r="BP156" s="384">
        <v>85</v>
      </c>
      <c r="BQ156" s="384">
        <v>88</v>
      </c>
      <c r="BR156" s="384">
        <v>91</v>
      </c>
      <c r="BS156" s="384">
        <v>97</v>
      </c>
      <c r="BT156" s="384">
        <v>100</v>
      </c>
      <c r="BU156" s="384">
        <v>103</v>
      </c>
      <c r="BV156" s="384">
        <v>103</v>
      </c>
      <c r="CG156" s="380">
        <v>30</v>
      </c>
      <c r="CH156" s="384">
        <v>60</v>
      </c>
      <c r="CI156" s="384">
        <v>60</v>
      </c>
      <c r="CJ156" s="384">
        <v>60</v>
      </c>
      <c r="CK156" s="384">
        <v>64</v>
      </c>
      <c r="CL156" s="384">
        <v>68</v>
      </c>
      <c r="CM156" s="384">
        <v>72</v>
      </c>
      <c r="CN156" s="384">
        <v>72</v>
      </c>
      <c r="CO156" s="384">
        <v>75</v>
      </c>
      <c r="CP156" s="384">
        <v>82</v>
      </c>
      <c r="CQ156" s="384">
        <v>85</v>
      </c>
      <c r="CR156" s="384">
        <v>91</v>
      </c>
      <c r="CS156" s="384">
        <v>94</v>
      </c>
      <c r="CT156" s="384">
        <v>97</v>
      </c>
      <c r="CU156" s="384">
        <v>103</v>
      </c>
      <c r="CV156" s="384">
        <v>106</v>
      </c>
      <c r="CW156" s="384">
        <v>109</v>
      </c>
      <c r="CX156" s="384">
        <v>109</v>
      </c>
      <c r="DI156" s="380">
        <v>30</v>
      </c>
      <c r="DJ156" s="384">
        <v>64</v>
      </c>
      <c r="DK156" s="384">
        <v>64</v>
      </c>
      <c r="DL156" s="384">
        <v>64</v>
      </c>
      <c r="DM156" s="384">
        <v>68</v>
      </c>
      <c r="DN156" s="384">
        <v>72</v>
      </c>
      <c r="DO156" s="384">
        <v>75</v>
      </c>
      <c r="DP156" s="384">
        <v>79</v>
      </c>
      <c r="DQ156" s="384">
        <v>82</v>
      </c>
      <c r="DR156" s="384">
        <v>91</v>
      </c>
      <c r="DS156" s="384">
        <v>94</v>
      </c>
      <c r="DT156" s="384">
        <v>100</v>
      </c>
      <c r="DU156" s="384">
        <v>103</v>
      </c>
      <c r="DV156" s="384">
        <v>106</v>
      </c>
      <c r="DW156" s="384">
        <v>109</v>
      </c>
      <c r="DX156" s="384">
        <v>109</v>
      </c>
      <c r="DY156" s="384">
        <v>112</v>
      </c>
      <c r="DZ156" s="384">
        <v>115</v>
      </c>
    </row>
    <row r="157" spans="1:130" x14ac:dyDescent="0.15">
      <c r="A157" s="390">
        <v>31</v>
      </c>
      <c r="B157" s="391">
        <v>49</v>
      </c>
      <c r="C157" s="391">
        <v>49</v>
      </c>
      <c r="D157" s="391">
        <v>49</v>
      </c>
      <c r="E157" s="391">
        <v>49</v>
      </c>
      <c r="F157" s="391">
        <v>49</v>
      </c>
      <c r="G157" s="391">
        <v>53</v>
      </c>
      <c r="H157" s="391">
        <v>56</v>
      </c>
      <c r="I157" s="391">
        <v>64</v>
      </c>
      <c r="J157" s="391">
        <v>68</v>
      </c>
      <c r="K157" s="391">
        <v>75</v>
      </c>
      <c r="L157" s="391">
        <v>79</v>
      </c>
      <c r="M157" s="391">
        <v>85</v>
      </c>
      <c r="N157" s="391">
        <v>88</v>
      </c>
      <c r="O157" s="391">
        <v>91</v>
      </c>
      <c r="P157" s="391">
        <v>94</v>
      </c>
      <c r="Q157" s="391">
        <v>97</v>
      </c>
      <c r="R157" s="391">
        <v>100</v>
      </c>
      <c r="AC157" s="380">
        <v>31</v>
      </c>
      <c r="AD157" s="384">
        <v>53</v>
      </c>
      <c r="AE157" s="384">
        <v>53</v>
      </c>
      <c r="AF157" s="384">
        <v>53</v>
      </c>
      <c r="AG157" s="384">
        <v>53</v>
      </c>
      <c r="AH157" s="384">
        <v>56</v>
      </c>
      <c r="AI157" s="384">
        <v>60</v>
      </c>
      <c r="AJ157" s="384">
        <v>64</v>
      </c>
      <c r="AK157" s="384">
        <v>68</v>
      </c>
      <c r="AL157" s="384">
        <v>72</v>
      </c>
      <c r="AM157" s="384">
        <v>79</v>
      </c>
      <c r="AN157" s="384">
        <v>85</v>
      </c>
      <c r="AO157" s="384">
        <v>88</v>
      </c>
      <c r="AP157" s="384">
        <v>91</v>
      </c>
      <c r="AQ157" s="384">
        <v>94</v>
      </c>
      <c r="AR157" s="384">
        <v>97</v>
      </c>
      <c r="AS157" s="384">
        <v>100</v>
      </c>
      <c r="AT157" s="384">
        <v>103</v>
      </c>
      <c r="BE157" s="380">
        <v>31</v>
      </c>
      <c r="BF157" s="384">
        <v>53</v>
      </c>
      <c r="BG157" s="384">
        <v>53</v>
      </c>
      <c r="BH157" s="384">
        <v>53</v>
      </c>
      <c r="BI157" s="384">
        <v>53</v>
      </c>
      <c r="BJ157" s="384">
        <v>56</v>
      </c>
      <c r="BK157" s="384">
        <v>60</v>
      </c>
      <c r="BL157" s="384">
        <v>64</v>
      </c>
      <c r="BM157" s="384">
        <v>68</v>
      </c>
      <c r="BN157" s="384">
        <v>75</v>
      </c>
      <c r="BO157" s="384">
        <v>79</v>
      </c>
      <c r="BP157" s="384">
        <v>85</v>
      </c>
      <c r="BQ157" s="384">
        <v>88</v>
      </c>
      <c r="BR157" s="384">
        <v>91</v>
      </c>
      <c r="BS157" s="384">
        <v>97</v>
      </c>
      <c r="BT157" s="384">
        <v>100</v>
      </c>
      <c r="BU157" s="384">
        <v>103</v>
      </c>
      <c r="BV157" s="384">
        <v>103</v>
      </c>
      <c r="CG157" s="380">
        <v>31</v>
      </c>
      <c r="CH157" s="384">
        <v>60</v>
      </c>
      <c r="CI157" s="384">
        <v>60</v>
      </c>
      <c r="CJ157" s="384">
        <v>60</v>
      </c>
      <c r="CK157" s="384">
        <v>64</v>
      </c>
      <c r="CL157" s="384">
        <v>68</v>
      </c>
      <c r="CM157" s="384">
        <v>72</v>
      </c>
      <c r="CN157" s="384">
        <v>72</v>
      </c>
      <c r="CO157" s="384">
        <v>75</v>
      </c>
      <c r="CP157" s="384">
        <v>82</v>
      </c>
      <c r="CQ157" s="384">
        <v>85</v>
      </c>
      <c r="CR157" s="384">
        <v>91</v>
      </c>
      <c r="CS157" s="384">
        <v>94</v>
      </c>
      <c r="CT157" s="384">
        <v>97</v>
      </c>
      <c r="CU157" s="384">
        <v>103</v>
      </c>
      <c r="CV157" s="384">
        <v>106</v>
      </c>
      <c r="CW157" s="384">
        <v>109</v>
      </c>
      <c r="CX157" s="384">
        <v>109</v>
      </c>
      <c r="DI157" s="380">
        <v>31</v>
      </c>
      <c r="DJ157" s="384">
        <v>68</v>
      </c>
      <c r="DK157" s="384">
        <v>68</v>
      </c>
      <c r="DL157" s="384">
        <v>68</v>
      </c>
      <c r="DM157" s="384">
        <v>72</v>
      </c>
      <c r="DN157" s="384">
        <v>75</v>
      </c>
      <c r="DO157" s="384">
        <v>79</v>
      </c>
      <c r="DP157" s="384">
        <v>82</v>
      </c>
      <c r="DQ157" s="384">
        <v>85</v>
      </c>
      <c r="DR157" s="384">
        <v>94</v>
      </c>
      <c r="DS157" s="384">
        <v>97</v>
      </c>
      <c r="DT157" s="384">
        <v>103</v>
      </c>
      <c r="DU157" s="384">
        <v>106</v>
      </c>
      <c r="DV157" s="384">
        <v>109</v>
      </c>
      <c r="DW157" s="384">
        <v>112</v>
      </c>
      <c r="DX157" s="384">
        <v>112</v>
      </c>
      <c r="DY157" s="384">
        <v>115</v>
      </c>
      <c r="DZ157" s="384">
        <v>118</v>
      </c>
    </row>
    <row r="158" spans="1:130" x14ac:dyDescent="0.15">
      <c r="A158" s="390">
        <v>32</v>
      </c>
      <c r="B158" s="391">
        <v>49</v>
      </c>
      <c r="C158" s="391">
        <v>49</v>
      </c>
      <c r="D158" s="391">
        <v>49</v>
      </c>
      <c r="E158" s="391">
        <v>49</v>
      </c>
      <c r="F158" s="391">
        <v>49</v>
      </c>
      <c r="G158" s="391">
        <v>53</v>
      </c>
      <c r="H158" s="391">
        <v>56</v>
      </c>
      <c r="I158" s="391">
        <v>64</v>
      </c>
      <c r="J158" s="391">
        <v>68</v>
      </c>
      <c r="K158" s="391">
        <v>75</v>
      </c>
      <c r="L158" s="391">
        <v>79</v>
      </c>
      <c r="M158" s="391">
        <v>85</v>
      </c>
      <c r="N158" s="391">
        <v>88</v>
      </c>
      <c r="O158" s="391">
        <v>91</v>
      </c>
      <c r="P158" s="391">
        <v>94</v>
      </c>
      <c r="Q158" s="391">
        <v>97</v>
      </c>
      <c r="R158" s="391">
        <v>100</v>
      </c>
      <c r="AC158" s="380">
        <v>32</v>
      </c>
      <c r="AD158" s="384">
        <v>53</v>
      </c>
      <c r="AE158" s="384">
        <v>53</v>
      </c>
      <c r="AF158" s="384">
        <v>53</v>
      </c>
      <c r="AG158" s="384">
        <v>53</v>
      </c>
      <c r="AH158" s="384">
        <v>56</v>
      </c>
      <c r="AI158" s="384">
        <v>60</v>
      </c>
      <c r="AJ158" s="384">
        <v>64</v>
      </c>
      <c r="AK158" s="384">
        <v>68</v>
      </c>
      <c r="AL158" s="384">
        <v>72</v>
      </c>
      <c r="AM158" s="384">
        <v>79</v>
      </c>
      <c r="AN158" s="384">
        <v>85</v>
      </c>
      <c r="AO158" s="384">
        <v>88</v>
      </c>
      <c r="AP158" s="384">
        <v>91</v>
      </c>
      <c r="AQ158" s="384">
        <v>94</v>
      </c>
      <c r="AR158" s="384">
        <v>97</v>
      </c>
      <c r="AS158" s="384">
        <v>100</v>
      </c>
      <c r="AT158" s="384">
        <v>103</v>
      </c>
      <c r="BE158" s="380">
        <v>32</v>
      </c>
      <c r="BF158" s="384">
        <v>56</v>
      </c>
      <c r="BG158" s="384">
        <v>56</v>
      </c>
      <c r="BH158" s="384">
        <v>56</v>
      </c>
      <c r="BI158" s="384">
        <v>56</v>
      </c>
      <c r="BJ158" s="384">
        <v>60</v>
      </c>
      <c r="BK158" s="384">
        <v>64</v>
      </c>
      <c r="BL158" s="384">
        <v>68</v>
      </c>
      <c r="BM158" s="384">
        <v>72</v>
      </c>
      <c r="BN158" s="384">
        <v>79</v>
      </c>
      <c r="BO158" s="384">
        <v>82</v>
      </c>
      <c r="BP158" s="384">
        <v>88</v>
      </c>
      <c r="BQ158" s="384">
        <v>91</v>
      </c>
      <c r="BR158" s="384">
        <v>94</v>
      </c>
      <c r="BS158" s="384">
        <v>100</v>
      </c>
      <c r="BT158" s="384">
        <v>103</v>
      </c>
      <c r="BU158" s="384">
        <v>106</v>
      </c>
      <c r="BV158" s="384">
        <v>106</v>
      </c>
      <c r="CG158" s="380">
        <v>32</v>
      </c>
      <c r="CH158" s="384">
        <v>64</v>
      </c>
      <c r="CI158" s="384">
        <v>64</v>
      </c>
      <c r="CJ158" s="384">
        <v>64</v>
      </c>
      <c r="CK158" s="384">
        <v>68</v>
      </c>
      <c r="CL158" s="384">
        <v>72</v>
      </c>
      <c r="CM158" s="384">
        <v>75</v>
      </c>
      <c r="CN158" s="384">
        <v>75</v>
      </c>
      <c r="CO158" s="384">
        <v>79</v>
      </c>
      <c r="CP158" s="384">
        <v>85</v>
      </c>
      <c r="CQ158" s="384">
        <v>88</v>
      </c>
      <c r="CR158" s="384">
        <v>94</v>
      </c>
      <c r="CS158" s="384">
        <v>97</v>
      </c>
      <c r="CT158" s="384">
        <v>100</v>
      </c>
      <c r="CU158" s="384">
        <v>106</v>
      </c>
      <c r="CV158" s="384">
        <v>109</v>
      </c>
      <c r="CW158" s="384">
        <v>112</v>
      </c>
      <c r="CX158" s="384">
        <v>112</v>
      </c>
      <c r="DI158" s="380">
        <v>32</v>
      </c>
      <c r="DJ158" s="384">
        <v>68</v>
      </c>
      <c r="DK158" s="384">
        <v>68</v>
      </c>
      <c r="DL158" s="384">
        <v>68</v>
      </c>
      <c r="DM158" s="384">
        <v>72</v>
      </c>
      <c r="DN158" s="384">
        <v>75</v>
      </c>
      <c r="DO158" s="384">
        <v>79</v>
      </c>
      <c r="DP158" s="384">
        <v>82</v>
      </c>
      <c r="DQ158" s="384">
        <v>85</v>
      </c>
      <c r="DR158" s="384">
        <v>94</v>
      </c>
      <c r="DS158" s="384">
        <v>97</v>
      </c>
      <c r="DT158" s="384">
        <v>103</v>
      </c>
      <c r="DU158" s="384">
        <v>106</v>
      </c>
      <c r="DV158" s="384">
        <v>109</v>
      </c>
      <c r="DW158" s="384">
        <v>112</v>
      </c>
      <c r="DX158" s="384">
        <v>112</v>
      </c>
      <c r="DY158" s="384">
        <v>115</v>
      </c>
      <c r="DZ158" s="384">
        <v>118</v>
      </c>
    </row>
    <row r="159" spans="1:130" x14ac:dyDescent="0.15">
      <c r="A159" s="390">
        <v>33</v>
      </c>
      <c r="B159" s="391">
        <v>49</v>
      </c>
      <c r="C159" s="391">
        <v>49</v>
      </c>
      <c r="D159" s="391">
        <v>49</v>
      </c>
      <c r="E159" s="391">
        <v>49</v>
      </c>
      <c r="F159" s="391">
        <v>49</v>
      </c>
      <c r="G159" s="391">
        <v>53</v>
      </c>
      <c r="H159" s="391">
        <v>56</v>
      </c>
      <c r="I159" s="391">
        <v>64</v>
      </c>
      <c r="J159" s="391">
        <v>68</v>
      </c>
      <c r="K159" s="391">
        <v>75</v>
      </c>
      <c r="L159" s="391">
        <v>79</v>
      </c>
      <c r="M159" s="391">
        <v>85</v>
      </c>
      <c r="N159" s="391">
        <v>88</v>
      </c>
      <c r="O159" s="391">
        <v>91</v>
      </c>
      <c r="P159" s="391">
        <v>94</v>
      </c>
      <c r="Q159" s="391">
        <v>97</v>
      </c>
      <c r="R159" s="391">
        <v>100</v>
      </c>
      <c r="AC159" s="380">
        <v>33</v>
      </c>
      <c r="AD159" s="384">
        <v>53</v>
      </c>
      <c r="AE159" s="384">
        <v>53</v>
      </c>
      <c r="AF159" s="384">
        <v>53</v>
      </c>
      <c r="AG159" s="384">
        <v>53</v>
      </c>
      <c r="AH159" s="384">
        <v>56</v>
      </c>
      <c r="AI159" s="384">
        <v>60</v>
      </c>
      <c r="AJ159" s="384">
        <v>64</v>
      </c>
      <c r="AK159" s="384">
        <v>68</v>
      </c>
      <c r="AL159" s="384">
        <v>72</v>
      </c>
      <c r="AM159" s="384">
        <v>79</v>
      </c>
      <c r="AN159" s="384">
        <v>85</v>
      </c>
      <c r="AO159" s="384">
        <v>88</v>
      </c>
      <c r="AP159" s="384">
        <v>91</v>
      </c>
      <c r="AQ159" s="384">
        <v>94</v>
      </c>
      <c r="AR159" s="384">
        <v>97</v>
      </c>
      <c r="AS159" s="384">
        <v>100</v>
      </c>
      <c r="AT159" s="384">
        <v>103</v>
      </c>
      <c r="BE159" s="380">
        <v>33</v>
      </c>
      <c r="BF159" s="384">
        <v>56</v>
      </c>
      <c r="BG159" s="384">
        <v>56</v>
      </c>
      <c r="BH159" s="384">
        <v>56</v>
      </c>
      <c r="BI159" s="384">
        <v>56</v>
      </c>
      <c r="BJ159" s="384">
        <v>60</v>
      </c>
      <c r="BK159" s="384">
        <v>64</v>
      </c>
      <c r="BL159" s="384">
        <v>68</v>
      </c>
      <c r="BM159" s="384">
        <v>72</v>
      </c>
      <c r="BN159" s="384">
        <v>79</v>
      </c>
      <c r="BO159" s="384">
        <v>82</v>
      </c>
      <c r="BP159" s="384">
        <v>88</v>
      </c>
      <c r="BQ159" s="384">
        <v>91</v>
      </c>
      <c r="BR159" s="384">
        <v>94</v>
      </c>
      <c r="BS159" s="384">
        <v>100</v>
      </c>
      <c r="BT159" s="384">
        <v>103</v>
      </c>
      <c r="BU159" s="384">
        <v>106</v>
      </c>
      <c r="BV159" s="384">
        <v>106</v>
      </c>
      <c r="CG159" s="380">
        <v>33</v>
      </c>
      <c r="CH159" s="384">
        <v>64</v>
      </c>
      <c r="CI159" s="384">
        <v>64</v>
      </c>
      <c r="CJ159" s="384">
        <v>64</v>
      </c>
      <c r="CK159" s="384">
        <v>68</v>
      </c>
      <c r="CL159" s="384">
        <v>72</v>
      </c>
      <c r="CM159" s="384">
        <v>75</v>
      </c>
      <c r="CN159" s="384">
        <v>75</v>
      </c>
      <c r="CO159" s="384">
        <v>79</v>
      </c>
      <c r="CP159" s="384">
        <v>85</v>
      </c>
      <c r="CQ159" s="384">
        <v>88</v>
      </c>
      <c r="CR159" s="384">
        <v>94</v>
      </c>
      <c r="CS159" s="384">
        <v>97</v>
      </c>
      <c r="CT159" s="384">
        <v>100</v>
      </c>
      <c r="CU159" s="384">
        <v>106</v>
      </c>
      <c r="CV159" s="384">
        <v>109</v>
      </c>
      <c r="CW159" s="384">
        <v>112</v>
      </c>
      <c r="CX159" s="384">
        <v>112</v>
      </c>
      <c r="DI159" s="380">
        <v>33</v>
      </c>
      <c r="DJ159" s="384">
        <v>72</v>
      </c>
      <c r="DK159" s="384">
        <v>72</v>
      </c>
      <c r="DL159" s="384">
        <v>72</v>
      </c>
      <c r="DM159" s="384">
        <v>75</v>
      </c>
      <c r="DN159" s="384">
        <v>79</v>
      </c>
      <c r="DO159" s="384">
        <v>82</v>
      </c>
      <c r="DP159" s="384">
        <v>85</v>
      </c>
      <c r="DQ159" s="384">
        <v>88</v>
      </c>
      <c r="DR159" s="384">
        <v>97</v>
      </c>
      <c r="DS159" s="384">
        <v>100</v>
      </c>
      <c r="DT159" s="384">
        <v>106</v>
      </c>
      <c r="DU159" s="384">
        <v>109</v>
      </c>
      <c r="DV159" s="384">
        <v>112</v>
      </c>
      <c r="DW159" s="384">
        <v>115</v>
      </c>
      <c r="DX159" s="384">
        <v>115</v>
      </c>
      <c r="DY159" s="384">
        <v>118</v>
      </c>
      <c r="DZ159" s="384">
        <v>122</v>
      </c>
    </row>
    <row r="160" spans="1:130" x14ac:dyDescent="0.15">
      <c r="A160" s="390">
        <v>34</v>
      </c>
      <c r="B160" s="391">
        <v>49</v>
      </c>
      <c r="C160" s="391">
        <v>49</v>
      </c>
      <c r="D160" s="391">
        <v>49</v>
      </c>
      <c r="E160" s="391">
        <v>49</v>
      </c>
      <c r="F160" s="391">
        <v>49</v>
      </c>
      <c r="G160" s="391">
        <v>53</v>
      </c>
      <c r="H160" s="391">
        <v>56</v>
      </c>
      <c r="I160" s="391">
        <v>64</v>
      </c>
      <c r="J160" s="391">
        <v>68</v>
      </c>
      <c r="K160" s="391">
        <v>75</v>
      </c>
      <c r="L160" s="391">
        <v>79</v>
      </c>
      <c r="M160" s="391">
        <v>85</v>
      </c>
      <c r="N160" s="391">
        <v>88</v>
      </c>
      <c r="O160" s="391">
        <v>91</v>
      </c>
      <c r="P160" s="391">
        <v>94</v>
      </c>
      <c r="Q160" s="391">
        <v>97</v>
      </c>
      <c r="R160" s="391">
        <v>100</v>
      </c>
      <c r="AC160" s="380">
        <v>34</v>
      </c>
      <c r="AD160" s="384">
        <v>56</v>
      </c>
      <c r="AE160" s="384">
        <v>56</v>
      </c>
      <c r="AF160" s="384">
        <v>56</v>
      </c>
      <c r="AG160" s="384">
        <v>56</v>
      </c>
      <c r="AH160" s="384">
        <v>60</v>
      </c>
      <c r="AI160" s="384">
        <v>64</v>
      </c>
      <c r="AJ160" s="384">
        <v>68</v>
      </c>
      <c r="AK160" s="384">
        <v>72</v>
      </c>
      <c r="AL160" s="384">
        <v>75</v>
      </c>
      <c r="AM160" s="384">
        <v>82</v>
      </c>
      <c r="AN160" s="384">
        <v>88</v>
      </c>
      <c r="AO160" s="384">
        <v>91</v>
      </c>
      <c r="AP160" s="384">
        <v>94</v>
      </c>
      <c r="AQ160" s="384">
        <v>97</v>
      </c>
      <c r="AR160" s="384">
        <v>100</v>
      </c>
      <c r="AS160" s="384">
        <v>103</v>
      </c>
      <c r="AT160" s="384">
        <v>106</v>
      </c>
      <c r="BE160" s="380">
        <v>34</v>
      </c>
      <c r="BF160" s="384">
        <v>56</v>
      </c>
      <c r="BG160" s="384">
        <v>56</v>
      </c>
      <c r="BH160" s="384">
        <v>56</v>
      </c>
      <c r="BI160" s="384">
        <v>56</v>
      </c>
      <c r="BJ160" s="384">
        <v>60</v>
      </c>
      <c r="BK160" s="384">
        <v>64</v>
      </c>
      <c r="BL160" s="384">
        <v>68</v>
      </c>
      <c r="BM160" s="384">
        <v>72</v>
      </c>
      <c r="BN160" s="384">
        <v>79</v>
      </c>
      <c r="BO160" s="384">
        <v>82</v>
      </c>
      <c r="BP160" s="384">
        <v>88</v>
      </c>
      <c r="BQ160" s="384">
        <v>91</v>
      </c>
      <c r="BR160" s="384">
        <v>94</v>
      </c>
      <c r="BS160" s="384">
        <v>100</v>
      </c>
      <c r="BT160" s="384">
        <v>103</v>
      </c>
      <c r="BU160" s="384">
        <v>106</v>
      </c>
      <c r="BV160" s="384">
        <v>106</v>
      </c>
      <c r="CG160" s="380">
        <v>34</v>
      </c>
      <c r="CH160" s="384">
        <v>64</v>
      </c>
      <c r="CI160" s="384">
        <v>64</v>
      </c>
      <c r="CJ160" s="384">
        <v>64</v>
      </c>
      <c r="CK160" s="384">
        <v>68</v>
      </c>
      <c r="CL160" s="384">
        <v>72</v>
      </c>
      <c r="CM160" s="384">
        <v>75</v>
      </c>
      <c r="CN160" s="384">
        <v>75</v>
      </c>
      <c r="CO160" s="384">
        <v>79</v>
      </c>
      <c r="CP160" s="384">
        <v>85</v>
      </c>
      <c r="CQ160" s="384">
        <v>88</v>
      </c>
      <c r="CR160" s="384">
        <v>94</v>
      </c>
      <c r="CS160" s="384">
        <v>97</v>
      </c>
      <c r="CT160" s="384">
        <v>100</v>
      </c>
      <c r="CU160" s="384">
        <v>106</v>
      </c>
      <c r="CV160" s="384">
        <v>109</v>
      </c>
      <c r="CW160" s="384">
        <v>112</v>
      </c>
      <c r="CX160" s="384">
        <v>112</v>
      </c>
      <c r="DI160" s="380">
        <v>34</v>
      </c>
      <c r="DJ160" s="384">
        <v>72</v>
      </c>
      <c r="DK160" s="384">
        <v>72</v>
      </c>
      <c r="DL160" s="384">
        <v>72</v>
      </c>
      <c r="DM160" s="384">
        <v>75</v>
      </c>
      <c r="DN160" s="384">
        <v>79</v>
      </c>
      <c r="DO160" s="384">
        <v>82</v>
      </c>
      <c r="DP160" s="384">
        <v>85</v>
      </c>
      <c r="DQ160" s="384">
        <v>88</v>
      </c>
      <c r="DR160" s="384">
        <v>97</v>
      </c>
      <c r="DS160" s="384">
        <v>100</v>
      </c>
      <c r="DT160" s="384">
        <v>106</v>
      </c>
      <c r="DU160" s="384">
        <v>109</v>
      </c>
      <c r="DV160" s="384">
        <v>112</v>
      </c>
      <c r="DW160" s="384">
        <v>115</v>
      </c>
      <c r="DX160" s="384">
        <v>115</v>
      </c>
      <c r="DY160" s="384">
        <v>118</v>
      </c>
      <c r="DZ160" s="384">
        <v>122</v>
      </c>
    </row>
    <row r="161" spans="1:130" x14ac:dyDescent="0.15">
      <c r="A161" s="390">
        <v>35</v>
      </c>
      <c r="B161" s="391">
        <v>53</v>
      </c>
      <c r="C161" s="391">
        <v>53</v>
      </c>
      <c r="D161" s="391">
        <v>53</v>
      </c>
      <c r="E161" s="391">
        <v>53</v>
      </c>
      <c r="F161" s="391">
        <v>53</v>
      </c>
      <c r="G161" s="391">
        <v>56</v>
      </c>
      <c r="H161" s="391">
        <v>60</v>
      </c>
      <c r="I161" s="391">
        <v>68</v>
      </c>
      <c r="J161" s="391">
        <v>72</v>
      </c>
      <c r="K161" s="391">
        <v>79</v>
      </c>
      <c r="L161" s="391">
        <v>82</v>
      </c>
      <c r="M161" s="391">
        <v>88</v>
      </c>
      <c r="N161" s="391">
        <v>91</v>
      </c>
      <c r="O161" s="391">
        <v>94</v>
      </c>
      <c r="P161" s="391">
        <v>97</v>
      </c>
      <c r="Q161" s="391">
        <v>100</v>
      </c>
      <c r="R161" s="391">
        <v>103</v>
      </c>
      <c r="AC161" s="380">
        <v>35</v>
      </c>
      <c r="AD161" s="384">
        <v>56</v>
      </c>
      <c r="AE161" s="384">
        <v>56</v>
      </c>
      <c r="AF161" s="384">
        <v>56</v>
      </c>
      <c r="AG161" s="384">
        <v>56</v>
      </c>
      <c r="AH161" s="384">
        <v>60</v>
      </c>
      <c r="AI161" s="384">
        <v>64</v>
      </c>
      <c r="AJ161" s="384">
        <v>68</v>
      </c>
      <c r="AK161" s="384">
        <v>72</v>
      </c>
      <c r="AL161" s="384">
        <v>75</v>
      </c>
      <c r="AM161" s="384">
        <v>82</v>
      </c>
      <c r="AN161" s="384">
        <v>88</v>
      </c>
      <c r="AO161" s="384">
        <v>91</v>
      </c>
      <c r="AP161" s="384">
        <v>94</v>
      </c>
      <c r="AQ161" s="384">
        <v>97</v>
      </c>
      <c r="AR161" s="384">
        <v>100</v>
      </c>
      <c r="AS161" s="384">
        <v>103</v>
      </c>
      <c r="AT161" s="384">
        <v>106</v>
      </c>
      <c r="BE161" s="380">
        <v>35</v>
      </c>
      <c r="BF161" s="384">
        <v>56</v>
      </c>
      <c r="BG161" s="384">
        <v>56</v>
      </c>
      <c r="BH161" s="384">
        <v>56</v>
      </c>
      <c r="BI161" s="384">
        <v>56</v>
      </c>
      <c r="BJ161" s="384">
        <v>60</v>
      </c>
      <c r="BK161" s="384">
        <v>64</v>
      </c>
      <c r="BL161" s="384">
        <v>68</v>
      </c>
      <c r="BM161" s="384">
        <v>72</v>
      </c>
      <c r="BN161" s="384">
        <v>79</v>
      </c>
      <c r="BO161" s="384">
        <v>82</v>
      </c>
      <c r="BP161" s="384">
        <v>88</v>
      </c>
      <c r="BQ161" s="384">
        <v>91</v>
      </c>
      <c r="BR161" s="384">
        <v>94</v>
      </c>
      <c r="BS161" s="384">
        <v>100</v>
      </c>
      <c r="BT161" s="384">
        <v>103</v>
      </c>
      <c r="BU161" s="384">
        <v>106</v>
      </c>
      <c r="BV161" s="384">
        <v>106</v>
      </c>
      <c r="CG161" s="380">
        <v>35</v>
      </c>
      <c r="CH161" s="384">
        <v>64</v>
      </c>
      <c r="CI161" s="384">
        <v>64</v>
      </c>
      <c r="CJ161" s="384">
        <v>64</v>
      </c>
      <c r="CK161" s="384">
        <v>68</v>
      </c>
      <c r="CL161" s="384">
        <v>72</v>
      </c>
      <c r="CM161" s="384">
        <v>75</v>
      </c>
      <c r="CN161" s="384">
        <v>75</v>
      </c>
      <c r="CO161" s="384">
        <v>79</v>
      </c>
      <c r="CP161" s="384">
        <v>85</v>
      </c>
      <c r="CQ161" s="384">
        <v>88</v>
      </c>
      <c r="CR161" s="384">
        <v>94</v>
      </c>
      <c r="CS161" s="384">
        <v>97</v>
      </c>
      <c r="CT161" s="384">
        <v>100</v>
      </c>
      <c r="CU161" s="384">
        <v>106</v>
      </c>
      <c r="CV161" s="384">
        <v>109</v>
      </c>
      <c r="CW161" s="384">
        <v>112</v>
      </c>
      <c r="CX161" s="384">
        <v>112</v>
      </c>
      <c r="DI161" s="380">
        <v>35</v>
      </c>
      <c r="DJ161" s="384">
        <v>75</v>
      </c>
      <c r="DK161" s="384">
        <v>75</v>
      </c>
      <c r="DL161" s="384">
        <v>75</v>
      </c>
      <c r="DM161" s="384">
        <v>79</v>
      </c>
      <c r="DN161" s="384">
        <v>82</v>
      </c>
      <c r="DO161" s="384">
        <v>85</v>
      </c>
      <c r="DP161" s="384">
        <v>88</v>
      </c>
      <c r="DQ161" s="384">
        <v>91</v>
      </c>
      <c r="DR161" s="384">
        <v>100</v>
      </c>
      <c r="DS161" s="384">
        <v>103</v>
      </c>
      <c r="DT161" s="384">
        <v>109</v>
      </c>
      <c r="DU161" s="384">
        <v>112</v>
      </c>
      <c r="DV161" s="384">
        <v>115</v>
      </c>
      <c r="DW161" s="384">
        <v>118</v>
      </c>
      <c r="DX161" s="384">
        <v>118</v>
      </c>
      <c r="DY161" s="384">
        <v>122</v>
      </c>
      <c r="DZ161" s="384">
        <v>125</v>
      </c>
    </row>
    <row r="162" spans="1:130" x14ac:dyDescent="0.15">
      <c r="A162" s="390">
        <v>36</v>
      </c>
      <c r="B162" s="391">
        <v>53</v>
      </c>
      <c r="C162" s="391">
        <v>53</v>
      </c>
      <c r="D162" s="391">
        <v>53</v>
      </c>
      <c r="E162" s="391">
        <v>53</v>
      </c>
      <c r="F162" s="391">
        <v>53</v>
      </c>
      <c r="G162" s="391">
        <v>56</v>
      </c>
      <c r="H162" s="391">
        <v>60</v>
      </c>
      <c r="I162" s="391">
        <v>68</v>
      </c>
      <c r="J162" s="391">
        <v>72</v>
      </c>
      <c r="K162" s="391">
        <v>79</v>
      </c>
      <c r="L162" s="391">
        <v>82</v>
      </c>
      <c r="M162" s="391">
        <v>88</v>
      </c>
      <c r="N162" s="391">
        <v>91</v>
      </c>
      <c r="O162" s="391">
        <v>94</v>
      </c>
      <c r="P162" s="391">
        <v>97</v>
      </c>
      <c r="Q162" s="391">
        <v>100</v>
      </c>
      <c r="R162" s="391">
        <v>103</v>
      </c>
      <c r="AC162" s="380">
        <v>36</v>
      </c>
      <c r="AD162" s="384">
        <v>56</v>
      </c>
      <c r="AE162" s="384">
        <v>56</v>
      </c>
      <c r="AF162" s="384">
        <v>56</v>
      </c>
      <c r="AG162" s="384">
        <v>56</v>
      </c>
      <c r="AH162" s="384">
        <v>60</v>
      </c>
      <c r="AI162" s="384">
        <v>64</v>
      </c>
      <c r="AJ162" s="384">
        <v>68</v>
      </c>
      <c r="AK162" s="384">
        <v>72</v>
      </c>
      <c r="AL162" s="384">
        <v>75</v>
      </c>
      <c r="AM162" s="384">
        <v>82</v>
      </c>
      <c r="AN162" s="384">
        <v>88</v>
      </c>
      <c r="AO162" s="384">
        <v>91</v>
      </c>
      <c r="AP162" s="384">
        <v>94</v>
      </c>
      <c r="AQ162" s="384">
        <v>97</v>
      </c>
      <c r="AR162" s="384">
        <v>100</v>
      </c>
      <c r="AS162" s="384">
        <v>103</v>
      </c>
      <c r="AT162" s="384">
        <v>106</v>
      </c>
      <c r="BE162" s="380">
        <v>36</v>
      </c>
      <c r="BF162" s="384">
        <v>60</v>
      </c>
      <c r="BG162" s="384">
        <v>60</v>
      </c>
      <c r="BH162" s="384">
        <v>60</v>
      </c>
      <c r="BI162" s="384">
        <v>60</v>
      </c>
      <c r="BJ162" s="384">
        <v>64</v>
      </c>
      <c r="BK162" s="384">
        <v>68</v>
      </c>
      <c r="BL162" s="384">
        <v>72</v>
      </c>
      <c r="BM162" s="384">
        <v>75</v>
      </c>
      <c r="BN162" s="384">
        <v>82</v>
      </c>
      <c r="BO162" s="384">
        <v>85</v>
      </c>
      <c r="BP162" s="384">
        <v>91</v>
      </c>
      <c r="BQ162" s="384">
        <v>94</v>
      </c>
      <c r="BR162" s="384">
        <v>97</v>
      </c>
      <c r="BS162" s="384">
        <v>103</v>
      </c>
      <c r="BT162" s="384">
        <v>106</v>
      </c>
      <c r="BU162" s="384">
        <v>109</v>
      </c>
      <c r="BV162" s="384">
        <v>109</v>
      </c>
      <c r="CG162" s="380">
        <v>36</v>
      </c>
      <c r="CH162" s="384">
        <v>64</v>
      </c>
      <c r="CI162" s="384">
        <v>64</v>
      </c>
      <c r="CJ162" s="384">
        <v>64</v>
      </c>
      <c r="CK162" s="384">
        <v>68</v>
      </c>
      <c r="CL162" s="384">
        <v>72</v>
      </c>
      <c r="CM162" s="384">
        <v>75</v>
      </c>
      <c r="CN162" s="384">
        <v>75</v>
      </c>
      <c r="CO162" s="384">
        <v>79</v>
      </c>
      <c r="CP162" s="384">
        <v>85</v>
      </c>
      <c r="CQ162" s="384">
        <v>88</v>
      </c>
      <c r="CR162" s="384">
        <v>94</v>
      </c>
      <c r="CS162" s="384">
        <v>97</v>
      </c>
      <c r="CT162" s="384">
        <v>100</v>
      </c>
      <c r="CU162" s="384">
        <v>106</v>
      </c>
      <c r="CV162" s="384">
        <v>109</v>
      </c>
      <c r="CW162" s="384">
        <v>112</v>
      </c>
      <c r="CX162" s="384">
        <v>112</v>
      </c>
      <c r="DI162" s="380">
        <v>36</v>
      </c>
      <c r="DJ162" s="384">
        <v>75</v>
      </c>
      <c r="DK162" s="384">
        <v>75</v>
      </c>
      <c r="DL162" s="384">
        <v>75</v>
      </c>
      <c r="DM162" s="384">
        <v>79</v>
      </c>
      <c r="DN162" s="384">
        <v>82</v>
      </c>
      <c r="DO162" s="384">
        <v>85</v>
      </c>
      <c r="DP162" s="384">
        <v>88</v>
      </c>
      <c r="DQ162" s="384">
        <v>91</v>
      </c>
      <c r="DR162" s="384">
        <v>100</v>
      </c>
      <c r="DS162" s="384">
        <v>103</v>
      </c>
      <c r="DT162" s="384">
        <v>109</v>
      </c>
      <c r="DU162" s="384">
        <v>112</v>
      </c>
      <c r="DV162" s="384">
        <v>115</v>
      </c>
      <c r="DW162" s="384">
        <v>118</v>
      </c>
      <c r="DX162" s="384">
        <v>118</v>
      </c>
      <c r="DY162" s="384">
        <v>122</v>
      </c>
      <c r="DZ162" s="384">
        <v>125</v>
      </c>
    </row>
    <row r="163" spans="1:130" x14ac:dyDescent="0.15">
      <c r="A163" s="390">
        <v>37</v>
      </c>
      <c r="B163" s="391">
        <v>53</v>
      </c>
      <c r="C163" s="391">
        <v>53</v>
      </c>
      <c r="D163" s="391">
        <v>53</v>
      </c>
      <c r="E163" s="391">
        <v>53</v>
      </c>
      <c r="F163" s="391">
        <v>53</v>
      </c>
      <c r="G163" s="391">
        <v>56</v>
      </c>
      <c r="H163" s="391">
        <v>60</v>
      </c>
      <c r="I163" s="391">
        <v>68</v>
      </c>
      <c r="J163" s="391">
        <v>72</v>
      </c>
      <c r="K163" s="391">
        <v>79</v>
      </c>
      <c r="L163" s="391">
        <v>82</v>
      </c>
      <c r="M163" s="391">
        <v>88</v>
      </c>
      <c r="N163" s="391">
        <v>91</v>
      </c>
      <c r="O163" s="391">
        <v>94</v>
      </c>
      <c r="P163" s="391">
        <v>97</v>
      </c>
      <c r="Q163" s="391">
        <v>100</v>
      </c>
      <c r="R163" s="391">
        <v>103</v>
      </c>
      <c r="AC163" s="380">
        <v>37</v>
      </c>
      <c r="AD163" s="384">
        <v>60</v>
      </c>
      <c r="AE163" s="384">
        <v>60</v>
      </c>
      <c r="AF163" s="384">
        <v>60</v>
      </c>
      <c r="AG163" s="384">
        <v>60</v>
      </c>
      <c r="AH163" s="384">
        <v>64</v>
      </c>
      <c r="AI163" s="384">
        <v>68</v>
      </c>
      <c r="AJ163" s="384">
        <v>72</v>
      </c>
      <c r="AK163" s="384">
        <v>75</v>
      </c>
      <c r="AL163" s="384">
        <v>79</v>
      </c>
      <c r="AM163" s="384">
        <v>85</v>
      </c>
      <c r="AN163" s="384">
        <v>91</v>
      </c>
      <c r="AO163" s="384">
        <v>94</v>
      </c>
      <c r="AP163" s="384">
        <v>97</v>
      </c>
      <c r="AQ163" s="384">
        <v>100</v>
      </c>
      <c r="AR163" s="384">
        <v>103</v>
      </c>
      <c r="AS163" s="384">
        <v>106</v>
      </c>
      <c r="AT163" s="384">
        <v>109</v>
      </c>
      <c r="BE163" s="380">
        <v>37</v>
      </c>
      <c r="BF163" s="384">
        <v>60</v>
      </c>
      <c r="BG163" s="384">
        <v>60</v>
      </c>
      <c r="BH163" s="384">
        <v>60</v>
      </c>
      <c r="BI163" s="384">
        <v>60</v>
      </c>
      <c r="BJ163" s="384">
        <v>64</v>
      </c>
      <c r="BK163" s="384">
        <v>68</v>
      </c>
      <c r="BL163" s="384">
        <v>72</v>
      </c>
      <c r="BM163" s="384">
        <v>75</v>
      </c>
      <c r="BN163" s="384">
        <v>82</v>
      </c>
      <c r="BO163" s="384">
        <v>85</v>
      </c>
      <c r="BP163" s="384">
        <v>91</v>
      </c>
      <c r="BQ163" s="384">
        <v>94</v>
      </c>
      <c r="BR163" s="384">
        <v>97</v>
      </c>
      <c r="BS163" s="384">
        <v>103</v>
      </c>
      <c r="BT163" s="384">
        <v>106</v>
      </c>
      <c r="BU163" s="384">
        <v>109</v>
      </c>
      <c r="BV163" s="384">
        <v>109</v>
      </c>
      <c r="CG163" s="380">
        <v>37</v>
      </c>
      <c r="CH163" s="384">
        <v>68</v>
      </c>
      <c r="CI163" s="384">
        <v>68</v>
      </c>
      <c r="CJ163" s="384">
        <v>68</v>
      </c>
      <c r="CK163" s="384">
        <v>72</v>
      </c>
      <c r="CL163" s="384">
        <v>75</v>
      </c>
      <c r="CM163" s="384">
        <v>79</v>
      </c>
      <c r="CN163" s="384">
        <v>79</v>
      </c>
      <c r="CO163" s="384">
        <v>82</v>
      </c>
      <c r="CP163" s="384">
        <v>88</v>
      </c>
      <c r="CQ163" s="384">
        <v>91</v>
      </c>
      <c r="CR163" s="384">
        <v>97</v>
      </c>
      <c r="CS163" s="384">
        <v>100</v>
      </c>
      <c r="CT163" s="384">
        <v>103</v>
      </c>
      <c r="CU163" s="384">
        <v>109</v>
      </c>
      <c r="CV163" s="384">
        <v>112</v>
      </c>
      <c r="CW163" s="384">
        <v>115</v>
      </c>
      <c r="CX163" s="384">
        <v>115</v>
      </c>
      <c r="DI163" s="380">
        <v>37</v>
      </c>
      <c r="DJ163" s="384">
        <v>75</v>
      </c>
      <c r="DK163" s="384">
        <v>75</v>
      </c>
      <c r="DL163" s="384">
        <v>75</v>
      </c>
      <c r="DM163" s="384">
        <v>79</v>
      </c>
      <c r="DN163" s="384">
        <v>82</v>
      </c>
      <c r="DO163" s="384">
        <v>85</v>
      </c>
      <c r="DP163" s="384">
        <v>88</v>
      </c>
      <c r="DQ163" s="384">
        <v>91</v>
      </c>
      <c r="DR163" s="384">
        <v>100</v>
      </c>
      <c r="DS163" s="384">
        <v>103</v>
      </c>
      <c r="DT163" s="384">
        <v>109</v>
      </c>
      <c r="DU163" s="384">
        <v>112</v>
      </c>
      <c r="DV163" s="384">
        <v>115</v>
      </c>
      <c r="DW163" s="384">
        <v>118</v>
      </c>
      <c r="DX163" s="384">
        <v>118</v>
      </c>
      <c r="DY163" s="384">
        <v>122</v>
      </c>
      <c r="DZ163" s="384">
        <v>125</v>
      </c>
    </row>
    <row r="164" spans="1:130" x14ac:dyDescent="0.15">
      <c r="A164" s="390">
        <v>38</v>
      </c>
      <c r="B164" s="391">
        <v>56</v>
      </c>
      <c r="C164" s="391">
        <v>56</v>
      </c>
      <c r="D164" s="391">
        <v>56</v>
      </c>
      <c r="E164" s="391">
        <v>56</v>
      </c>
      <c r="F164" s="391">
        <v>56</v>
      </c>
      <c r="G164" s="391">
        <v>60</v>
      </c>
      <c r="H164" s="391">
        <v>64</v>
      </c>
      <c r="I164" s="391">
        <v>72</v>
      </c>
      <c r="J164" s="391">
        <v>75</v>
      </c>
      <c r="K164" s="391">
        <v>82</v>
      </c>
      <c r="L164" s="391">
        <v>85</v>
      </c>
      <c r="M164" s="391">
        <v>91</v>
      </c>
      <c r="N164" s="391">
        <v>94</v>
      </c>
      <c r="O164" s="391">
        <v>97</v>
      </c>
      <c r="P164" s="391">
        <v>100</v>
      </c>
      <c r="Q164" s="391">
        <v>103</v>
      </c>
      <c r="R164" s="391">
        <v>106</v>
      </c>
      <c r="AC164" s="380">
        <v>38</v>
      </c>
      <c r="AD164" s="384">
        <v>60</v>
      </c>
      <c r="AE164" s="384">
        <v>60</v>
      </c>
      <c r="AF164" s="384">
        <v>60</v>
      </c>
      <c r="AG164" s="384">
        <v>60</v>
      </c>
      <c r="AH164" s="384">
        <v>64</v>
      </c>
      <c r="AI164" s="384">
        <v>68</v>
      </c>
      <c r="AJ164" s="384">
        <v>72</v>
      </c>
      <c r="AK164" s="384">
        <v>75</v>
      </c>
      <c r="AL164" s="384">
        <v>79</v>
      </c>
      <c r="AM164" s="384">
        <v>85</v>
      </c>
      <c r="AN164" s="384">
        <v>91</v>
      </c>
      <c r="AO164" s="384">
        <v>94</v>
      </c>
      <c r="AP164" s="384">
        <v>97</v>
      </c>
      <c r="AQ164" s="384">
        <v>100</v>
      </c>
      <c r="AR164" s="384">
        <v>103</v>
      </c>
      <c r="AS164" s="384">
        <v>106</v>
      </c>
      <c r="AT164" s="384">
        <v>109</v>
      </c>
      <c r="BE164" s="380">
        <v>38</v>
      </c>
      <c r="BF164" s="384">
        <v>60</v>
      </c>
      <c r="BG164" s="384">
        <v>60</v>
      </c>
      <c r="BH164" s="384">
        <v>60</v>
      </c>
      <c r="BI164" s="384">
        <v>60</v>
      </c>
      <c r="BJ164" s="384">
        <v>64</v>
      </c>
      <c r="BK164" s="384">
        <v>68</v>
      </c>
      <c r="BL164" s="384">
        <v>72</v>
      </c>
      <c r="BM164" s="384">
        <v>75</v>
      </c>
      <c r="BN164" s="384">
        <v>82</v>
      </c>
      <c r="BO164" s="384">
        <v>85</v>
      </c>
      <c r="BP164" s="384">
        <v>91</v>
      </c>
      <c r="BQ164" s="384">
        <v>94</v>
      </c>
      <c r="BR164" s="384">
        <v>97</v>
      </c>
      <c r="BS164" s="384">
        <v>103</v>
      </c>
      <c r="BT164" s="384">
        <v>106</v>
      </c>
      <c r="BU164" s="384">
        <v>109</v>
      </c>
      <c r="BV164" s="384">
        <v>109</v>
      </c>
      <c r="CG164" s="380">
        <v>38</v>
      </c>
      <c r="CH164" s="384">
        <v>68</v>
      </c>
      <c r="CI164" s="384">
        <v>68</v>
      </c>
      <c r="CJ164" s="384">
        <v>68</v>
      </c>
      <c r="CK164" s="384">
        <v>72</v>
      </c>
      <c r="CL164" s="384">
        <v>75</v>
      </c>
      <c r="CM164" s="384">
        <v>79</v>
      </c>
      <c r="CN164" s="384">
        <v>79</v>
      </c>
      <c r="CO164" s="384">
        <v>82</v>
      </c>
      <c r="CP164" s="384">
        <v>88</v>
      </c>
      <c r="CQ164" s="384">
        <v>91</v>
      </c>
      <c r="CR164" s="384">
        <v>97</v>
      </c>
      <c r="CS164" s="384">
        <v>100</v>
      </c>
      <c r="CT164" s="384">
        <v>103</v>
      </c>
      <c r="CU164" s="384">
        <v>109</v>
      </c>
      <c r="CV164" s="384">
        <v>112</v>
      </c>
      <c r="CW164" s="384">
        <v>115</v>
      </c>
      <c r="CX164" s="384">
        <v>115</v>
      </c>
      <c r="DI164" s="380">
        <v>38</v>
      </c>
      <c r="DJ164" s="384">
        <v>79</v>
      </c>
      <c r="DK164" s="384">
        <v>79</v>
      </c>
      <c r="DL164" s="384">
        <v>79</v>
      </c>
      <c r="DM164" s="384">
        <v>82</v>
      </c>
      <c r="DN164" s="384">
        <v>85</v>
      </c>
      <c r="DO164" s="384">
        <v>88</v>
      </c>
      <c r="DP164" s="384">
        <v>91</v>
      </c>
      <c r="DQ164" s="384">
        <v>94</v>
      </c>
      <c r="DR164" s="384">
        <v>103</v>
      </c>
      <c r="DS164" s="384">
        <v>106</v>
      </c>
      <c r="DT164" s="384">
        <v>112</v>
      </c>
      <c r="DU164" s="384">
        <v>115</v>
      </c>
      <c r="DV164" s="384">
        <v>118</v>
      </c>
      <c r="DW164" s="384">
        <v>122</v>
      </c>
      <c r="DX164" s="384">
        <v>122</v>
      </c>
      <c r="DY164" s="384">
        <v>125</v>
      </c>
      <c r="DZ164" s="384">
        <v>128</v>
      </c>
    </row>
    <row r="165" spans="1:130" x14ac:dyDescent="0.15">
      <c r="A165" s="390">
        <v>39</v>
      </c>
      <c r="B165" s="391">
        <v>56</v>
      </c>
      <c r="C165" s="391">
        <v>56</v>
      </c>
      <c r="D165" s="391">
        <v>56</v>
      </c>
      <c r="E165" s="391">
        <v>56</v>
      </c>
      <c r="F165" s="391">
        <v>56</v>
      </c>
      <c r="G165" s="391">
        <v>60</v>
      </c>
      <c r="H165" s="391">
        <v>64</v>
      </c>
      <c r="I165" s="391">
        <v>72</v>
      </c>
      <c r="J165" s="391">
        <v>75</v>
      </c>
      <c r="K165" s="391">
        <v>82</v>
      </c>
      <c r="L165" s="391">
        <v>85</v>
      </c>
      <c r="M165" s="391">
        <v>91</v>
      </c>
      <c r="N165" s="391">
        <v>94</v>
      </c>
      <c r="O165" s="391">
        <v>97</v>
      </c>
      <c r="P165" s="391">
        <v>100</v>
      </c>
      <c r="Q165" s="391">
        <v>103</v>
      </c>
      <c r="R165" s="391">
        <v>106</v>
      </c>
      <c r="AC165" s="380">
        <v>39</v>
      </c>
      <c r="AD165" s="384">
        <v>60</v>
      </c>
      <c r="AE165" s="384">
        <v>60</v>
      </c>
      <c r="AF165" s="384">
        <v>60</v>
      </c>
      <c r="AG165" s="384">
        <v>60</v>
      </c>
      <c r="AH165" s="384">
        <v>64</v>
      </c>
      <c r="AI165" s="384">
        <v>68</v>
      </c>
      <c r="AJ165" s="384">
        <v>72</v>
      </c>
      <c r="AK165" s="384">
        <v>75</v>
      </c>
      <c r="AL165" s="384">
        <v>79</v>
      </c>
      <c r="AM165" s="384">
        <v>85</v>
      </c>
      <c r="AN165" s="384">
        <v>91</v>
      </c>
      <c r="AO165" s="384">
        <v>94</v>
      </c>
      <c r="AP165" s="384">
        <v>97</v>
      </c>
      <c r="AQ165" s="384">
        <v>100</v>
      </c>
      <c r="AR165" s="384">
        <v>103</v>
      </c>
      <c r="AS165" s="384">
        <v>106</v>
      </c>
      <c r="AT165" s="384">
        <v>109</v>
      </c>
      <c r="BE165" s="380">
        <v>39</v>
      </c>
      <c r="BF165" s="384">
        <v>60</v>
      </c>
      <c r="BG165" s="384">
        <v>60</v>
      </c>
      <c r="BH165" s="384">
        <v>60</v>
      </c>
      <c r="BI165" s="384">
        <v>60</v>
      </c>
      <c r="BJ165" s="384">
        <v>64</v>
      </c>
      <c r="BK165" s="384">
        <v>68</v>
      </c>
      <c r="BL165" s="384">
        <v>72</v>
      </c>
      <c r="BM165" s="384">
        <v>75</v>
      </c>
      <c r="BN165" s="384">
        <v>82</v>
      </c>
      <c r="BO165" s="384">
        <v>85</v>
      </c>
      <c r="BP165" s="384">
        <v>91</v>
      </c>
      <c r="BQ165" s="384">
        <v>94</v>
      </c>
      <c r="BR165" s="384">
        <v>97</v>
      </c>
      <c r="BS165" s="384">
        <v>103</v>
      </c>
      <c r="BT165" s="384">
        <v>106</v>
      </c>
      <c r="BU165" s="384">
        <v>109</v>
      </c>
      <c r="BV165" s="384">
        <v>109</v>
      </c>
      <c r="CG165" s="380">
        <v>39</v>
      </c>
      <c r="CH165" s="384">
        <v>68</v>
      </c>
      <c r="CI165" s="384">
        <v>68</v>
      </c>
      <c r="CJ165" s="384">
        <v>68</v>
      </c>
      <c r="CK165" s="384">
        <v>72</v>
      </c>
      <c r="CL165" s="384">
        <v>75</v>
      </c>
      <c r="CM165" s="384">
        <v>79</v>
      </c>
      <c r="CN165" s="384">
        <v>79</v>
      </c>
      <c r="CO165" s="384">
        <v>82</v>
      </c>
      <c r="CP165" s="384">
        <v>88</v>
      </c>
      <c r="CQ165" s="384">
        <v>91</v>
      </c>
      <c r="CR165" s="384">
        <v>97</v>
      </c>
      <c r="CS165" s="384">
        <v>100</v>
      </c>
      <c r="CT165" s="384">
        <v>103</v>
      </c>
      <c r="CU165" s="384">
        <v>109</v>
      </c>
      <c r="CV165" s="384">
        <v>112</v>
      </c>
      <c r="CW165" s="384">
        <v>115</v>
      </c>
      <c r="CX165" s="384">
        <v>115</v>
      </c>
      <c r="DI165" s="380">
        <v>39</v>
      </c>
      <c r="DJ165" s="384">
        <v>79</v>
      </c>
      <c r="DK165" s="384">
        <v>79</v>
      </c>
      <c r="DL165" s="384">
        <v>79</v>
      </c>
      <c r="DM165" s="384">
        <v>82</v>
      </c>
      <c r="DN165" s="384">
        <v>85</v>
      </c>
      <c r="DO165" s="384">
        <v>88</v>
      </c>
      <c r="DP165" s="384">
        <v>91</v>
      </c>
      <c r="DQ165" s="384">
        <v>94</v>
      </c>
      <c r="DR165" s="384">
        <v>103</v>
      </c>
      <c r="DS165" s="384">
        <v>106</v>
      </c>
      <c r="DT165" s="384">
        <v>112</v>
      </c>
      <c r="DU165" s="384">
        <v>115</v>
      </c>
      <c r="DV165" s="384">
        <v>118</v>
      </c>
      <c r="DW165" s="384">
        <v>122</v>
      </c>
      <c r="DX165" s="384">
        <v>122</v>
      </c>
      <c r="DY165" s="384">
        <v>125</v>
      </c>
      <c r="DZ165" s="384">
        <v>128</v>
      </c>
    </row>
    <row r="166" spans="1:130" x14ac:dyDescent="0.15">
      <c r="A166" s="390">
        <v>40</v>
      </c>
      <c r="B166" s="391">
        <v>56</v>
      </c>
      <c r="C166" s="391">
        <v>56</v>
      </c>
      <c r="D166" s="391">
        <v>56</v>
      </c>
      <c r="E166" s="391">
        <v>56</v>
      </c>
      <c r="F166" s="391">
        <v>56</v>
      </c>
      <c r="G166" s="391">
        <v>60</v>
      </c>
      <c r="H166" s="391">
        <v>64</v>
      </c>
      <c r="I166" s="391">
        <v>72</v>
      </c>
      <c r="J166" s="391">
        <v>75</v>
      </c>
      <c r="K166" s="391">
        <v>82</v>
      </c>
      <c r="L166" s="391">
        <v>85</v>
      </c>
      <c r="M166" s="391">
        <v>91</v>
      </c>
      <c r="N166" s="391">
        <v>94</v>
      </c>
      <c r="O166" s="391">
        <v>97</v>
      </c>
      <c r="P166" s="391">
        <v>100</v>
      </c>
      <c r="Q166" s="391">
        <v>103</v>
      </c>
      <c r="R166" s="391">
        <v>106</v>
      </c>
      <c r="AC166" s="380">
        <v>40</v>
      </c>
      <c r="AD166" s="384">
        <v>60</v>
      </c>
      <c r="AE166" s="384">
        <v>60</v>
      </c>
      <c r="AF166" s="384">
        <v>60</v>
      </c>
      <c r="AG166" s="384">
        <v>60</v>
      </c>
      <c r="AH166" s="384">
        <v>64</v>
      </c>
      <c r="AI166" s="384">
        <v>68</v>
      </c>
      <c r="AJ166" s="384">
        <v>72</v>
      </c>
      <c r="AK166" s="384">
        <v>75</v>
      </c>
      <c r="AL166" s="384">
        <v>79</v>
      </c>
      <c r="AM166" s="384">
        <v>85</v>
      </c>
      <c r="AN166" s="384">
        <v>91</v>
      </c>
      <c r="AO166" s="384">
        <v>94</v>
      </c>
      <c r="AP166" s="384">
        <v>97</v>
      </c>
      <c r="AQ166" s="384">
        <v>100</v>
      </c>
      <c r="AR166" s="384">
        <v>103</v>
      </c>
      <c r="AS166" s="384">
        <v>106</v>
      </c>
      <c r="AT166" s="384">
        <v>109</v>
      </c>
      <c r="BE166" s="380">
        <v>40</v>
      </c>
      <c r="BF166" s="384">
        <v>60</v>
      </c>
      <c r="BG166" s="384">
        <v>60</v>
      </c>
      <c r="BH166" s="384">
        <v>60</v>
      </c>
      <c r="BI166" s="384">
        <v>60</v>
      </c>
      <c r="BJ166" s="384">
        <v>64</v>
      </c>
      <c r="BK166" s="384">
        <v>68</v>
      </c>
      <c r="BL166" s="384">
        <v>72</v>
      </c>
      <c r="BM166" s="384">
        <v>75</v>
      </c>
      <c r="BN166" s="384">
        <v>82</v>
      </c>
      <c r="BO166" s="384">
        <v>85</v>
      </c>
      <c r="BP166" s="384">
        <v>91</v>
      </c>
      <c r="BQ166" s="384">
        <v>94</v>
      </c>
      <c r="BR166" s="384">
        <v>97</v>
      </c>
      <c r="BS166" s="384">
        <v>103</v>
      </c>
      <c r="BT166" s="384">
        <v>106</v>
      </c>
      <c r="BU166" s="384">
        <v>109</v>
      </c>
      <c r="BV166" s="384">
        <v>109</v>
      </c>
      <c r="CG166" s="380">
        <v>40</v>
      </c>
      <c r="CH166" s="384">
        <v>72</v>
      </c>
      <c r="CI166" s="384">
        <v>72</v>
      </c>
      <c r="CJ166" s="384">
        <v>72</v>
      </c>
      <c r="CK166" s="384">
        <v>75</v>
      </c>
      <c r="CL166" s="384">
        <v>79</v>
      </c>
      <c r="CM166" s="384">
        <v>82</v>
      </c>
      <c r="CN166" s="384">
        <v>82</v>
      </c>
      <c r="CO166" s="384">
        <v>85</v>
      </c>
      <c r="CP166" s="384">
        <v>91</v>
      </c>
      <c r="CQ166" s="384">
        <v>94</v>
      </c>
      <c r="CR166" s="384">
        <v>100</v>
      </c>
      <c r="CS166" s="384">
        <v>103</v>
      </c>
      <c r="CT166" s="384">
        <v>106</v>
      </c>
      <c r="CU166" s="384">
        <v>112</v>
      </c>
      <c r="CV166" s="384">
        <v>115</v>
      </c>
      <c r="CW166" s="384">
        <v>118</v>
      </c>
      <c r="CX166" s="384">
        <v>118</v>
      </c>
      <c r="DI166" s="380">
        <v>40</v>
      </c>
      <c r="DJ166" s="384">
        <v>82</v>
      </c>
      <c r="DK166" s="384">
        <v>82</v>
      </c>
      <c r="DL166" s="384">
        <v>82</v>
      </c>
      <c r="DM166" s="384">
        <v>85</v>
      </c>
      <c r="DN166" s="384">
        <v>88</v>
      </c>
      <c r="DO166" s="384">
        <v>91</v>
      </c>
      <c r="DP166" s="384">
        <v>94</v>
      </c>
      <c r="DQ166" s="384">
        <v>97</v>
      </c>
      <c r="DR166" s="384">
        <v>106</v>
      </c>
      <c r="DS166" s="384">
        <v>109</v>
      </c>
      <c r="DT166" s="384">
        <v>115</v>
      </c>
      <c r="DU166" s="384">
        <v>118</v>
      </c>
      <c r="DV166" s="384">
        <v>122</v>
      </c>
      <c r="DW166" s="384">
        <v>125</v>
      </c>
      <c r="DX166" s="384">
        <v>125</v>
      </c>
      <c r="DY166" s="384">
        <v>128</v>
      </c>
      <c r="DZ166" s="384">
        <v>132</v>
      </c>
    </row>
    <row r="167" spans="1:130" x14ac:dyDescent="0.15">
      <c r="A167" s="390">
        <v>41</v>
      </c>
      <c r="B167" s="391">
        <v>56</v>
      </c>
      <c r="C167" s="391">
        <v>56</v>
      </c>
      <c r="D167" s="391">
        <v>56</v>
      </c>
      <c r="E167" s="391">
        <v>56</v>
      </c>
      <c r="F167" s="391">
        <v>56</v>
      </c>
      <c r="G167" s="391">
        <v>60</v>
      </c>
      <c r="H167" s="391">
        <v>64</v>
      </c>
      <c r="I167" s="391">
        <v>72</v>
      </c>
      <c r="J167" s="391">
        <v>75</v>
      </c>
      <c r="K167" s="391">
        <v>82</v>
      </c>
      <c r="L167" s="391">
        <v>85</v>
      </c>
      <c r="M167" s="391">
        <v>91</v>
      </c>
      <c r="N167" s="391">
        <v>94</v>
      </c>
      <c r="O167" s="391">
        <v>97</v>
      </c>
      <c r="P167" s="391">
        <v>100</v>
      </c>
      <c r="Q167" s="391">
        <v>103</v>
      </c>
      <c r="R167" s="391">
        <v>106</v>
      </c>
      <c r="AC167" s="380">
        <v>41</v>
      </c>
      <c r="AD167" s="384">
        <v>64</v>
      </c>
      <c r="AE167" s="384">
        <v>64</v>
      </c>
      <c r="AF167" s="384">
        <v>64</v>
      </c>
      <c r="AG167" s="384">
        <v>64</v>
      </c>
      <c r="AH167" s="384">
        <v>68</v>
      </c>
      <c r="AI167" s="384">
        <v>72</v>
      </c>
      <c r="AJ167" s="384">
        <v>75</v>
      </c>
      <c r="AK167" s="384">
        <v>79</v>
      </c>
      <c r="AL167" s="384">
        <v>82</v>
      </c>
      <c r="AM167" s="384">
        <v>88</v>
      </c>
      <c r="AN167" s="384">
        <v>94</v>
      </c>
      <c r="AO167" s="384">
        <v>97</v>
      </c>
      <c r="AP167" s="384">
        <v>100</v>
      </c>
      <c r="AQ167" s="384">
        <v>103</v>
      </c>
      <c r="AR167" s="384">
        <v>106</v>
      </c>
      <c r="AS167" s="384">
        <v>109</v>
      </c>
      <c r="AT167" s="384">
        <v>112</v>
      </c>
      <c r="BE167" s="380">
        <v>41</v>
      </c>
      <c r="BF167" s="384">
        <v>64</v>
      </c>
      <c r="BG167" s="384">
        <v>64</v>
      </c>
      <c r="BH167" s="384">
        <v>64</v>
      </c>
      <c r="BI167" s="384">
        <v>64</v>
      </c>
      <c r="BJ167" s="384">
        <v>68</v>
      </c>
      <c r="BK167" s="384">
        <v>72</v>
      </c>
      <c r="BL167" s="384">
        <v>75</v>
      </c>
      <c r="BM167" s="384">
        <v>79</v>
      </c>
      <c r="BN167" s="384">
        <v>85</v>
      </c>
      <c r="BO167" s="384">
        <v>88</v>
      </c>
      <c r="BP167" s="384">
        <v>94</v>
      </c>
      <c r="BQ167" s="384">
        <v>97</v>
      </c>
      <c r="BR167" s="384">
        <v>100</v>
      </c>
      <c r="BS167" s="384">
        <v>106</v>
      </c>
      <c r="BT167" s="384">
        <v>109</v>
      </c>
      <c r="BU167" s="384">
        <v>112</v>
      </c>
      <c r="BV167" s="384">
        <v>112</v>
      </c>
      <c r="CG167" s="380">
        <v>41</v>
      </c>
      <c r="CH167" s="384">
        <v>72</v>
      </c>
      <c r="CI167" s="384">
        <v>72</v>
      </c>
      <c r="CJ167" s="384">
        <v>72</v>
      </c>
      <c r="CK167" s="384">
        <v>75</v>
      </c>
      <c r="CL167" s="384">
        <v>79</v>
      </c>
      <c r="CM167" s="384">
        <v>82</v>
      </c>
      <c r="CN167" s="384">
        <v>82</v>
      </c>
      <c r="CO167" s="384">
        <v>85</v>
      </c>
      <c r="CP167" s="384">
        <v>91</v>
      </c>
      <c r="CQ167" s="384">
        <v>94</v>
      </c>
      <c r="CR167" s="384">
        <v>100</v>
      </c>
      <c r="CS167" s="384">
        <v>103</v>
      </c>
      <c r="CT167" s="384">
        <v>106</v>
      </c>
      <c r="CU167" s="384">
        <v>112</v>
      </c>
      <c r="CV167" s="384">
        <v>115</v>
      </c>
      <c r="CW167" s="384">
        <v>118</v>
      </c>
      <c r="CX167" s="384">
        <v>118</v>
      </c>
      <c r="DI167" s="380">
        <v>41</v>
      </c>
      <c r="DJ167" s="384">
        <v>82</v>
      </c>
      <c r="DK167" s="384">
        <v>82</v>
      </c>
      <c r="DL167" s="384">
        <v>82</v>
      </c>
      <c r="DM167" s="384">
        <v>85</v>
      </c>
      <c r="DN167" s="384">
        <v>88</v>
      </c>
      <c r="DO167" s="384">
        <v>91</v>
      </c>
      <c r="DP167" s="384">
        <v>94</v>
      </c>
      <c r="DQ167" s="384">
        <v>97</v>
      </c>
      <c r="DR167" s="384">
        <v>106</v>
      </c>
      <c r="DS167" s="384">
        <v>109</v>
      </c>
      <c r="DT167" s="384">
        <v>115</v>
      </c>
      <c r="DU167" s="384">
        <v>118</v>
      </c>
      <c r="DV167" s="384">
        <v>122</v>
      </c>
      <c r="DW167" s="384">
        <v>125</v>
      </c>
      <c r="DX167" s="384">
        <v>125</v>
      </c>
      <c r="DY167" s="384">
        <v>128</v>
      </c>
      <c r="DZ167" s="384">
        <v>132</v>
      </c>
    </row>
    <row r="168" spans="1:130" x14ac:dyDescent="0.15">
      <c r="A168" s="390">
        <v>42</v>
      </c>
      <c r="B168" s="391">
        <v>60</v>
      </c>
      <c r="C168" s="391">
        <v>60</v>
      </c>
      <c r="D168" s="391">
        <v>60</v>
      </c>
      <c r="E168" s="391">
        <v>60</v>
      </c>
      <c r="F168" s="391">
        <v>60</v>
      </c>
      <c r="G168" s="391">
        <v>64</v>
      </c>
      <c r="H168" s="391">
        <v>68</v>
      </c>
      <c r="I168" s="391">
        <v>75</v>
      </c>
      <c r="J168" s="391">
        <v>79</v>
      </c>
      <c r="K168" s="391">
        <v>85</v>
      </c>
      <c r="L168" s="391">
        <v>88</v>
      </c>
      <c r="M168" s="391">
        <v>94</v>
      </c>
      <c r="N168" s="391">
        <v>97</v>
      </c>
      <c r="O168" s="391">
        <v>100</v>
      </c>
      <c r="P168" s="391">
        <v>103</v>
      </c>
      <c r="Q168" s="391">
        <v>106</v>
      </c>
      <c r="R168" s="391">
        <v>109</v>
      </c>
      <c r="AC168" s="380">
        <v>42</v>
      </c>
      <c r="AD168" s="384">
        <v>64</v>
      </c>
      <c r="AE168" s="384">
        <v>64</v>
      </c>
      <c r="AF168" s="384">
        <v>64</v>
      </c>
      <c r="AG168" s="384">
        <v>64</v>
      </c>
      <c r="AH168" s="384">
        <v>68</v>
      </c>
      <c r="AI168" s="384">
        <v>72</v>
      </c>
      <c r="AJ168" s="384">
        <v>75</v>
      </c>
      <c r="AK168" s="384">
        <v>79</v>
      </c>
      <c r="AL168" s="384">
        <v>82</v>
      </c>
      <c r="AM168" s="384">
        <v>88</v>
      </c>
      <c r="AN168" s="384">
        <v>94</v>
      </c>
      <c r="AO168" s="384">
        <v>97</v>
      </c>
      <c r="AP168" s="384">
        <v>100</v>
      </c>
      <c r="AQ168" s="384">
        <v>103</v>
      </c>
      <c r="AR168" s="384">
        <v>106</v>
      </c>
      <c r="AS168" s="384">
        <v>109</v>
      </c>
      <c r="AT168" s="384">
        <v>112</v>
      </c>
      <c r="BE168" s="380">
        <v>42</v>
      </c>
      <c r="BF168" s="384">
        <v>64</v>
      </c>
      <c r="BG168" s="384">
        <v>64</v>
      </c>
      <c r="BH168" s="384">
        <v>64</v>
      </c>
      <c r="BI168" s="384">
        <v>64</v>
      </c>
      <c r="BJ168" s="384">
        <v>68</v>
      </c>
      <c r="BK168" s="384">
        <v>72</v>
      </c>
      <c r="BL168" s="384">
        <v>75</v>
      </c>
      <c r="BM168" s="384">
        <v>79</v>
      </c>
      <c r="BN168" s="384">
        <v>85</v>
      </c>
      <c r="BO168" s="384">
        <v>88</v>
      </c>
      <c r="BP168" s="384">
        <v>94</v>
      </c>
      <c r="BQ168" s="384">
        <v>97</v>
      </c>
      <c r="BR168" s="384">
        <v>100</v>
      </c>
      <c r="BS168" s="384">
        <v>106</v>
      </c>
      <c r="BT168" s="384">
        <v>109</v>
      </c>
      <c r="BU168" s="384">
        <v>112</v>
      </c>
      <c r="BV168" s="384">
        <v>112</v>
      </c>
      <c r="CG168" s="380">
        <v>42</v>
      </c>
      <c r="CH168" s="384">
        <v>72</v>
      </c>
      <c r="CI168" s="384">
        <v>72</v>
      </c>
      <c r="CJ168" s="384">
        <v>72</v>
      </c>
      <c r="CK168" s="384">
        <v>75</v>
      </c>
      <c r="CL168" s="384">
        <v>79</v>
      </c>
      <c r="CM168" s="384">
        <v>82</v>
      </c>
      <c r="CN168" s="384">
        <v>82</v>
      </c>
      <c r="CO168" s="384">
        <v>85</v>
      </c>
      <c r="CP168" s="384">
        <v>91</v>
      </c>
      <c r="CQ168" s="384">
        <v>94</v>
      </c>
      <c r="CR168" s="384">
        <v>100</v>
      </c>
      <c r="CS168" s="384">
        <v>103</v>
      </c>
      <c r="CT168" s="384">
        <v>106</v>
      </c>
      <c r="CU168" s="384">
        <v>112</v>
      </c>
      <c r="CV168" s="384">
        <v>115</v>
      </c>
      <c r="CW168" s="384">
        <v>118</v>
      </c>
      <c r="CX168" s="384">
        <v>118</v>
      </c>
      <c r="DI168" s="380">
        <v>42</v>
      </c>
      <c r="DJ168" s="384">
        <v>85</v>
      </c>
      <c r="DK168" s="384">
        <v>85</v>
      </c>
      <c r="DL168" s="384">
        <v>85</v>
      </c>
      <c r="DM168" s="384">
        <v>88</v>
      </c>
      <c r="DN168" s="384">
        <v>91</v>
      </c>
      <c r="DO168" s="384">
        <v>94</v>
      </c>
      <c r="DP168" s="384">
        <v>97</v>
      </c>
      <c r="DQ168" s="384">
        <v>100</v>
      </c>
      <c r="DR168" s="384">
        <v>109</v>
      </c>
      <c r="DS168" s="384">
        <v>112</v>
      </c>
      <c r="DT168" s="384">
        <v>118</v>
      </c>
      <c r="DU168" s="384">
        <v>122</v>
      </c>
      <c r="DV168" s="384">
        <v>125</v>
      </c>
      <c r="DW168" s="384">
        <v>128</v>
      </c>
      <c r="DX168" s="384">
        <v>128</v>
      </c>
      <c r="DY168" s="384">
        <v>132</v>
      </c>
      <c r="DZ168" s="384">
        <v>135</v>
      </c>
    </row>
    <row r="169" spans="1:130" x14ac:dyDescent="0.15">
      <c r="A169" s="390">
        <v>43</v>
      </c>
      <c r="B169" s="391">
        <v>60</v>
      </c>
      <c r="C169" s="391">
        <v>60</v>
      </c>
      <c r="D169" s="391">
        <v>60</v>
      </c>
      <c r="E169" s="391">
        <v>60</v>
      </c>
      <c r="F169" s="391">
        <v>60</v>
      </c>
      <c r="G169" s="391">
        <v>64</v>
      </c>
      <c r="H169" s="391">
        <v>68</v>
      </c>
      <c r="I169" s="391">
        <v>75</v>
      </c>
      <c r="J169" s="391">
        <v>79</v>
      </c>
      <c r="K169" s="391">
        <v>85</v>
      </c>
      <c r="L169" s="391">
        <v>88</v>
      </c>
      <c r="M169" s="391">
        <v>94</v>
      </c>
      <c r="N169" s="391">
        <v>97</v>
      </c>
      <c r="O169" s="391">
        <v>100</v>
      </c>
      <c r="P169" s="391">
        <v>103</v>
      </c>
      <c r="Q169" s="391">
        <v>106</v>
      </c>
      <c r="R169" s="391">
        <v>109</v>
      </c>
      <c r="AC169" s="380">
        <v>43</v>
      </c>
      <c r="AD169" s="384">
        <v>68</v>
      </c>
      <c r="AE169" s="384">
        <v>68</v>
      </c>
      <c r="AF169" s="384">
        <v>68</v>
      </c>
      <c r="AG169" s="384">
        <v>68</v>
      </c>
      <c r="AH169" s="384">
        <v>72</v>
      </c>
      <c r="AI169" s="384">
        <v>75</v>
      </c>
      <c r="AJ169" s="384">
        <v>79</v>
      </c>
      <c r="AK169" s="384">
        <v>82</v>
      </c>
      <c r="AL169" s="384">
        <v>85</v>
      </c>
      <c r="AM169" s="384">
        <v>91</v>
      </c>
      <c r="AN169" s="384">
        <v>97</v>
      </c>
      <c r="AO169" s="384">
        <v>100</v>
      </c>
      <c r="AP169" s="384">
        <v>103</v>
      </c>
      <c r="AQ169" s="384">
        <v>106</v>
      </c>
      <c r="AR169" s="384">
        <v>109</v>
      </c>
      <c r="AS169" s="384">
        <v>112</v>
      </c>
      <c r="AT169" s="384">
        <v>115</v>
      </c>
      <c r="BE169" s="380">
        <v>43</v>
      </c>
      <c r="BF169" s="384">
        <v>68</v>
      </c>
      <c r="BG169" s="384">
        <v>68</v>
      </c>
      <c r="BH169" s="384">
        <v>68</v>
      </c>
      <c r="BI169" s="384">
        <v>68</v>
      </c>
      <c r="BJ169" s="384">
        <v>72</v>
      </c>
      <c r="BK169" s="384">
        <v>75</v>
      </c>
      <c r="BL169" s="384">
        <v>79</v>
      </c>
      <c r="BM169" s="384">
        <v>82</v>
      </c>
      <c r="BN169" s="384">
        <v>88</v>
      </c>
      <c r="BO169" s="384">
        <v>91</v>
      </c>
      <c r="BP169" s="384">
        <v>97</v>
      </c>
      <c r="BQ169" s="384">
        <v>100</v>
      </c>
      <c r="BR169" s="384">
        <v>103</v>
      </c>
      <c r="BS169" s="384">
        <v>109</v>
      </c>
      <c r="BT169" s="384">
        <v>112</v>
      </c>
      <c r="BU169" s="384">
        <v>115</v>
      </c>
      <c r="BV169" s="384">
        <v>115</v>
      </c>
      <c r="CG169" s="380">
        <v>43</v>
      </c>
      <c r="CH169" s="384">
        <v>75</v>
      </c>
      <c r="CI169" s="384">
        <v>75</v>
      </c>
      <c r="CJ169" s="384">
        <v>75</v>
      </c>
      <c r="CK169" s="384">
        <v>79</v>
      </c>
      <c r="CL169" s="384">
        <v>82</v>
      </c>
      <c r="CM169" s="384">
        <v>85</v>
      </c>
      <c r="CN169" s="384">
        <v>85</v>
      </c>
      <c r="CO169" s="384">
        <v>88</v>
      </c>
      <c r="CP169" s="384">
        <v>94</v>
      </c>
      <c r="CQ169" s="384">
        <v>97</v>
      </c>
      <c r="CR169" s="384">
        <v>103</v>
      </c>
      <c r="CS169" s="384">
        <v>106</v>
      </c>
      <c r="CT169" s="384">
        <v>109</v>
      </c>
      <c r="CU169" s="384">
        <v>115</v>
      </c>
      <c r="CV169" s="384">
        <v>118</v>
      </c>
      <c r="CW169" s="384">
        <v>122</v>
      </c>
      <c r="CX169" s="384">
        <v>122</v>
      </c>
      <c r="DI169" s="380">
        <v>43</v>
      </c>
      <c r="DJ169" s="384">
        <v>85</v>
      </c>
      <c r="DK169" s="384">
        <v>85</v>
      </c>
      <c r="DL169" s="384">
        <v>85</v>
      </c>
      <c r="DM169" s="384">
        <v>88</v>
      </c>
      <c r="DN169" s="384">
        <v>91</v>
      </c>
      <c r="DO169" s="384">
        <v>94</v>
      </c>
      <c r="DP169" s="384">
        <v>97</v>
      </c>
      <c r="DQ169" s="384">
        <v>100</v>
      </c>
      <c r="DR169" s="384">
        <v>109</v>
      </c>
      <c r="DS169" s="384">
        <v>112</v>
      </c>
      <c r="DT169" s="384">
        <v>118</v>
      </c>
      <c r="DU169" s="384">
        <v>122</v>
      </c>
      <c r="DV169" s="384">
        <v>125</v>
      </c>
      <c r="DW169" s="384">
        <v>128</v>
      </c>
      <c r="DX169" s="384">
        <v>128</v>
      </c>
      <c r="DY169" s="384">
        <v>132</v>
      </c>
      <c r="DZ169" s="384">
        <v>135</v>
      </c>
    </row>
    <row r="170" spans="1:130" x14ac:dyDescent="0.15">
      <c r="A170" s="390">
        <v>44</v>
      </c>
      <c r="B170" s="391">
        <v>64</v>
      </c>
      <c r="C170" s="391">
        <v>64</v>
      </c>
      <c r="D170" s="391">
        <v>64</v>
      </c>
      <c r="E170" s="391">
        <v>64</v>
      </c>
      <c r="F170" s="391">
        <v>64</v>
      </c>
      <c r="G170" s="391">
        <v>68</v>
      </c>
      <c r="H170" s="391">
        <v>72</v>
      </c>
      <c r="I170" s="391">
        <v>79</v>
      </c>
      <c r="J170" s="391">
        <v>82</v>
      </c>
      <c r="K170" s="391">
        <v>88</v>
      </c>
      <c r="L170" s="391">
        <v>91</v>
      </c>
      <c r="M170" s="391">
        <v>97</v>
      </c>
      <c r="N170" s="391">
        <v>100</v>
      </c>
      <c r="O170" s="391">
        <v>103</v>
      </c>
      <c r="P170" s="391">
        <v>106</v>
      </c>
      <c r="Q170" s="391">
        <v>109</v>
      </c>
      <c r="R170" s="391">
        <v>112</v>
      </c>
      <c r="AC170" s="380">
        <v>44</v>
      </c>
      <c r="AD170" s="384">
        <v>68</v>
      </c>
      <c r="AE170" s="384">
        <v>68</v>
      </c>
      <c r="AF170" s="384">
        <v>68</v>
      </c>
      <c r="AG170" s="384">
        <v>68</v>
      </c>
      <c r="AH170" s="384">
        <v>72</v>
      </c>
      <c r="AI170" s="384">
        <v>75</v>
      </c>
      <c r="AJ170" s="384">
        <v>79</v>
      </c>
      <c r="AK170" s="384">
        <v>82</v>
      </c>
      <c r="AL170" s="384">
        <v>85</v>
      </c>
      <c r="AM170" s="384">
        <v>91</v>
      </c>
      <c r="AN170" s="384">
        <v>97</v>
      </c>
      <c r="AO170" s="384">
        <v>100</v>
      </c>
      <c r="AP170" s="384">
        <v>103</v>
      </c>
      <c r="AQ170" s="384">
        <v>106</v>
      </c>
      <c r="AR170" s="384">
        <v>109</v>
      </c>
      <c r="AS170" s="384">
        <v>112</v>
      </c>
      <c r="AT170" s="384">
        <v>115</v>
      </c>
      <c r="BE170" s="380">
        <v>44</v>
      </c>
      <c r="BF170" s="384">
        <v>68</v>
      </c>
      <c r="BG170" s="384">
        <v>68</v>
      </c>
      <c r="BH170" s="384">
        <v>68</v>
      </c>
      <c r="BI170" s="384">
        <v>68</v>
      </c>
      <c r="BJ170" s="384">
        <v>72</v>
      </c>
      <c r="BK170" s="384">
        <v>75</v>
      </c>
      <c r="BL170" s="384">
        <v>79</v>
      </c>
      <c r="BM170" s="384">
        <v>82</v>
      </c>
      <c r="BN170" s="384">
        <v>88</v>
      </c>
      <c r="BO170" s="384">
        <v>91</v>
      </c>
      <c r="BP170" s="384">
        <v>97</v>
      </c>
      <c r="BQ170" s="384">
        <v>100</v>
      </c>
      <c r="BR170" s="384">
        <v>103</v>
      </c>
      <c r="BS170" s="384">
        <v>109</v>
      </c>
      <c r="BT170" s="384">
        <v>112</v>
      </c>
      <c r="BU170" s="384">
        <v>115</v>
      </c>
      <c r="BV170" s="384">
        <v>115</v>
      </c>
      <c r="CG170" s="380">
        <v>44</v>
      </c>
      <c r="CH170" s="384">
        <v>75</v>
      </c>
      <c r="CI170" s="384">
        <v>75</v>
      </c>
      <c r="CJ170" s="384">
        <v>75</v>
      </c>
      <c r="CK170" s="384">
        <v>79</v>
      </c>
      <c r="CL170" s="384">
        <v>82</v>
      </c>
      <c r="CM170" s="384">
        <v>85</v>
      </c>
      <c r="CN170" s="384">
        <v>85</v>
      </c>
      <c r="CO170" s="384">
        <v>88</v>
      </c>
      <c r="CP170" s="384">
        <v>94</v>
      </c>
      <c r="CQ170" s="384">
        <v>97</v>
      </c>
      <c r="CR170" s="384">
        <v>103</v>
      </c>
      <c r="CS170" s="384">
        <v>106</v>
      </c>
      <c r="CT170" s="384">
        <v>109</v>
      </c>
      <c r="CU170" s="384">
        <v>115</v>
      </c>
      <c r="CV170" s="384">
        <v>118</v>
      </c>
      <c r="CW170" s="384">
        <v>122</v>
      </c>
      <c r="CX170" s="384">
        <v>122</v>
      </c>
      <c r="DI170" s="380">
        <v>44</v>
      </c>
      <c r="DJ170" s="384">
        <v>88</v>
      </c>
      <c r="DK170" s="384">
        <v>88</v>
      </c>
      <c r="DL170" s="384">
        <v>88</v>
      </c>
      <c r="DM170" s="384">
        <v>91</v>
      </c>
      <c r="DN170" s="384">
        <v>94</v>
      </c>
      <c r="DO170" s="384">
        <v>97</v>
      </c>
      <c r="DP170" s="384">
        <v>100</v>
      </c>
      <c r="DQ170" s="384">
        <v>103</v>
      </c>
      <c r="DR170" s="384">
        <v>112</v>
      </c>
      <c r="DS170" s="384">
        <v>115</v>
      </c>
      <c r="DT170" s="384">
        <v>122</v>
      </c>
      <c r="DU170" s="384">
        <v>125</v>
      </c>
      <c r="DV170" s="384">
        <v>128</v>
      </c>
      <c r="DW170" s="384">
        <v>132</v>
      </c>
      <c r="DX170" s="384">
        <v>132</v>
      </c>
      <c r="DY170" s="384">
        <v>135</v>
      </c>
      <c r="DZ170" s="384">
        <v>138</v>
      </c>
    </row>
    <row r="171" spans="1:130" x14ac:dyDescent="0.15">
      <c r="A171" s="390">
        <v>45</v>
      </c>
      <c r="B171" s="391">
        <v>64</v>
      </c>
      <c r="C171" s="391">
        <v>64</v>
      </c>
      <c r="D171" s="391">
        <v>64</v>
      </c>
      <c r="E171" s="391">
        <v>64</v>
      </c>
      <c r="F171" s="391">
        <v>64</v>
      </c>
      <c r="G171" s="391">
        <v>68</v>
      </c>
      <c r="H171" s="391">
        <v>72</v>
      </c>
      <c r="I171" s="391">
        <v>79</v>
      </c>
      <c r="J171" s="391">
        <v>82</v>
      </c>
      <c r="K171" s="391">
        <v>88</v>
      </c>
      <c r="L171" s="391">
        <v>91</v>
      </c>
      <c r="M171" s="391">
        <v>97</v>
      </c>
      <c r="N171" s="391">
        <v>100</v>
      </c>
      <c r="O171" s="391">
        <v>103</v>
      </c>
      <c r="P171" s="391">
        <v>106</v>
      </c>
      <c r="Q171" s="391">
        <v>109</v>
      </c>
      <c r="R171" s="391">
        <v>112</v>
      </c>
      <c r="AC171" s="380">
        <v>45</v>
      </c>
      <c r="AD171" s="384">
        <v>72</v>
      </c>
      <c r="AE171" s="384">
        <v>72</v>
      </c>
      <c r="AF171" s="384">
        <v>72</v>
      </c>
      <c r="AG171" s="384">
        <v>72</v>
      </c>
      <c r="AH171" s="384">
        <v>75</v>
      </c>
      <c r="AI171" s="384">
        <v>79</v>
      </c>
      <c r="AJ171" s="384">
        <v>82</v>
      </c>
      <c r="AK171" s="384">
        <v>85</v>
      </c>
      <c r="AL171" s="384">
        <v>88</v>
      </c>
      <c r="AM171" s="384">
        <v>94</v>
      </c>
      <c r="AN171" s="384">
        <v>100</v>
      </c>
      <c r="AO171" s="384">
        <v>103</v>
      </c>
      <c r="AP171" s="384">
        <v>106</v>
      </c>
      <c r="AQ171" s="384">
        <v>109</v>
      </c>
      <c r="AR171" s="384">
        <v>112</v>
      </c>
      <c r="AS171" s="384">
        <v>115</v>
      </c>
      <c r="AT171" s="384">
        <v>118</v>
      </c>
      <c r="BE171" s="380">
        <v>45</v>
      </c>
      <c r="BF171" s="384">
        <v>72</v>
      </c>
      <c r="BG171" s="384">
        <v>72</v>
      </c>
      <c r="BH171" s="384">
        <v>72</v>
      </c>
      <c r="BI171" s="384">
        <v>72</v>
      </c>
      <c r="BJ171" s="384">
        <v>75</v>
      </c>
      <c r="BK171" s="384">
        <v>79</v>
      </c>
      <c r="BL171" s="384">
        <v>82</v>
      </c>
      <c r="BM171" s="384">
        <v>85</v>
      </c>
      <c r="BN171" s="384">
        <v>91</v>
      </c>
      <c r="BO171" s="384">
        <v>94</v>
      </c>
      <c r="BP171" s="384">
        <v>100</v>
      </c>
      <c r="BQ171" s="384">
        <v>103</v>
      </c>
      <c r="BR171" s="384">
        <v>106</v>
      </c>
      <c r="BS171" s="384">
        <v>112</v>
      </c>
      <c r="BT171" s="384">
        <v>115</v>
      </c>
      <c r="BU171" s="384">
        <v>118</v>
      </c>
      <c r="BV171" s="384">
        <v>118</v>
      </c>
      <c r="CG171" s="380">
        <v>45</v>
      </c>
      <c r="CH171" s="384">
        <v>75</v>
      </c>
      <c r="CI171" s="384">
        <v>75</v>
      </c>
      <c r="CJ171" s="384">
        <v>75</v>
      </c>
      <c r="CK171" s="384">
        <v>79</v>
      </c>
      <c r="CL171" s="384">
        <v>82</v>
      </c>
      <c r="CM171" s="384">
        <v>85</v>
      </c>
      <c r="CN171" s="384">
        <v>85</v>
      </c>
      <c r="CO171" s="384">
        <v>88</v>
      </c>
      <c r="CP171" s="384">
        <v>94</v>
      </c>
      <c r="CQ171" s="384">
        <v>97</v>
      </c>
      <c r="CR171" s="384">
        <v>103</v>
      </c>
      <c r="CS171" s="384">
        <v>106</v>
      </c>
      <c r="CT171" s="384">
        <v>109</v>
      </c>
      <c r="CU171" s="384">
        <v>115</v>
      </c>
      <c r="CV171" s="384">
        <v>118</v>
      </c>
      <c r="CW171" s="384">
        <v>122</v>
      </c>
      <c r="CX171" s="384">
        <v>122</v>
      </c>
      <c r="DI171" s="380">
        <v>45</v>
      </c>
      <c r="DJ171" s="384">
        <v>88</v>
      </c>
      <c r="DK171" s="384">
        <v>88</v>
      </c>
      <c r="DL171" s="384">
        <v>88</v>
      </c>
      <c r="DM171" s="384">
        <v>91</v>
      </c>
      <c r="DN171" s="384">
        <v>94</v>
      </c>
      <c r="DO171" s="384">
        <v>97</v>
      </c>
      <c r="DP171" s="384">
        <v>100</v>
      </c>
      <c r="DQ171" s="384">
        <v>103</v>
      </c>
      <c r="DR171" s="384">
        <v>112</v>
      </c>
      <c r="DS171" s="384">
        <v>115</v>
      </c>
      <c r="DT171" s="384">
        <v>122</v>
      </c>
      <c r="DU171" s="384">
        <v>125</v>
      </c>
      <c r="DV171" s="384">
        <v>128</v>
      </c>
      <c r="DW171" s="384">
        <v>132</v>
      </c>
      <c r="DX171" s="384">
        <v>132</v>
      </c>
      <c r="DY171" s="384">
        <v>135</v>
      </c>
      <c r="DZ171" s="384">
        <v>138</v>
      </c>
    </row>
    <row r="172" spans="1:130" x14ac:dyDescent="0.15">
      <c r="A172" s="390">
        <v>46</v>
      </c>
      <c r="B172" s="391">
        <v>64</v>
      </c>
      <c r="C172" s="391">
        <v>64</v>
      </c>
      <c r="D172" s="391">
        <v>64</v>
      </c>
      <c r="E172" s="391">
        <v>64</v>
      </c>
      <c r="F172" s="391">
        <v>64</v>
      </c>
      <c r="G172" s="391">
        <v>68</v>
      </c>
      <c r="H172" s="391">
        <v>72</v>
      </c>
      <c r="I172" s="391">
        <v>79</v>
      </c>
      <c r="J172" s="391">
        <v>82</v>
      </c>
      <c r="K172" s="391">
        <v>88</v>
      </c>
      <c r="L172" s="391">
        <v>91</v>
      </c>
      <c r="M172" s="391">
        <v>97</v>
      </c>
      <c r="N172" s="391">
        <v>100</v>
      </c>
      <c r="O172" s="391">
        <v>103</v>
      </c>
      <c r="P172" s="391">
        <v>106</v>
      </c>
      <c r="Q172" s="391">
        <v>109</v>
      </c>
      <c r="R172" s="391">
        <v>112</v>
      </c>
      <c r="AC172" s="380">
        <v>46</v>
      </c>
      <c r="AD172" s="384">
        <v>72</v>
      </c>
      <c r="AE172" s="384">
        <v>72</v>
      </c>
      <c r="AF172" s="384">
        <v>72</v>
      </c>
      <c r="AG172" s="384">
        <v>72</v>
      </c>
      <c r="AH172" s="384">
        <v>75</v>
      </c>
      <c r="AI172" s="384">
        <v>79</v>
      </c>
      <c r="AJ172" s="384">
        <v>82</v>
      </c>
      <c r="AK172" s="384">
        <v>85</v>
      </c>
      <c r="AL172" s="384">
        <v>88</v>
      </c>
      <c r="AM172" s="384">
        <v>94</v>
      </c>
      <c r="AN172" s="384">
        <v>100</v>
      </c>
      <c r="AO172" s="384">
        <v>103</v>
      </c>
      <c r="AP172" s="384">
        <v>106</v>
      </c>
      <c r="AQ172" s="384">
        <v>109</v>
      </c>
      <c r="AR172" s="384">
        <v>112</v>
      </c>
      <c r="AS172" s="384">
        <v>115</v>
      </c>
      <c r="AT172" s="384">
        <v>118</v>
      </c>
      <c r="BE172" s="380">
        <v>46</v>
      </c>
      <c r="BF172" s="384">
        <v>72</v>
      </c>
      <c r="BG172" s="384">
        <v>72</v>
      </c>
      <c r="BH172" s="384">
        <v>72</v>
      </c>
      <c r="BI172" s="384">
        <v>72</v>
      </c>
      <c r="BJ172" s="384">
        <v>75</v>
      </c>
      <c r="BK172" s="384">
        <v>79</v>
      </c>
      <c r="BL172" s="384">
        <v>82</v>
      </c>
      <c r="BM172" s="384">
        <v>85</v>
      </c>
      <c r="BN172" s="384">
        <v>91</v>
      </c>
      <c r="BO172" s="384">
        <v>94</v>
      </c>
      <c r="BP172" s="384">
        <v>100</v>
      </c>
      <c r="BQ172" s="384">
        <v>103</v>
      </c>
      <c r="BR172" s="384">
        <v>106</v>
      </c>
      <c r="BS172" s="384">
        <v>112</v>
      </c>
      <c r="BT172" s="384">
        <v>115</v>
      </c>
      <c r="BU172" s="384">
        <v>118</v>
      </c>
      <c r="BV172" s="384">
        <v>118</v>
      </c>
      <c r="CG172" s="380">
        <v>46</v>
      </c>
      <c r="CH172" s="384">
        <v>79</v>
      </c>
      <c r="CI172" s="384">
        <v>79</v>
      </c>
      <c r="CJ172" s="384">
        <v>79</v>
      </c>
      <c r="CK172" s="384">
        <v>82</v>
      </c>
      <c r="CL172" s="384">
        <v>85</v>
      </c>
      <c r="CM172" s="384">
        <v>88</v>
      </c>
      <c r="CN172" s="384">
        <v>88</v>
      </c>
      <c r="CO172" s="384">
        <v>91</v>
      </c>
      <c r="CP172" s="384">
        <v>97</v>
      </c>
      <c r="CQ172" s="384">
        <v>100</v>
      </c>
      <c r="CR172" s="384">
        <v>106</v>
      </c>
      <c r="CS172" s="384">
        <v>109</v>
      </c>
      <c r="CT172" s="384">
        <v>112</v>
      </c>
      <c r="CU172" s="384">
        <v>118</v>
      </c>
      <c r="CV172" s="384">
        <v>122</v>
      </c>
      <c r="CW172" s="384">
        <v>125</v>
      </c>
      <c r="CX172" s="384">
        <v>125</v>
      </c>
      <c r="DI172" s="380">
        <v>46</v>
      </c>
      <c r="DJ172" s="384">
        <v>91</v>
      </c>
      <c r="DK172" s="384">
        <v>91</v>
      </c>
      <c r="DL172" s="384">
        <v>91</v>
      </c>
      <c r="DM172" s="384">
        <v>94</v>
      </c>
      <c r="DN172" s="384">
        <v>97</v>
      </c>
      <c r="DO172" s="384">
        <v>100</v>
      </c>
      <c r="DP172" s="384">
        <v>103</v>
      </c>
      <c r="DQ172" s="384">
        <v>106</v>
      </c>
      <c r="DR172" s="384">
        <v>115</v>
      </c>
      <c r="DS172" s="384">
        <v>118</v>
      </c>
      <c r="DT172" s="384">
        <v>125</v>
      </c>
      <c r="DU172" s="384">
        <v>128</v>
      </c>
      <c r="DV172" s="384">
        <v>132</v>
      </c>
      <c r="DW172" s="384">
        <v>135</v>
      </c>
      <c r="DX172" s="384">
        <v>135</v>
      </c>
      <c r="DY172" s="384">
        <v>138</v>
      </c>
      <c r="DZ172" s="384">
        <v>142</v>
      </c>
    </row>
    <row r="173" spans="1:130" x14ac:dyDescent="0.15">
      <c r="A173" s="390">
        <v>47</v>
      </c>
      <c r="B173" s="391">
        <v>68</v>
      </c>
      <c r="C173" s="391">
        <v>68</v>
      </c>
      <c r="D173" s="391">
        <v>68</v>
      </c>
      <c r="E173" s="391">
        <v>68</v>
      </c>
      <c r="F173" s="391">
        <v>68</v>
      </c>
      <c r="G173" s="391">
        <v>72</v>
      </c>
      <c r="H173" s="391">
        <v>75</v>
      </c>
      <c r="I173" s="391">
        <v>82</v>
      </c>
      <c r="J173" s="391">
        <v>85</v>
      </c>
      <c r="K173" s="391">
        <v>91</v>
      </c>
      <c r="L173" s="391">
        <v>94</v>
      </c>
      <c r="M173" s="391">
        <v>100</v>
      </c>
      <c r="N173" s="391">
        <v>103</v>
      </c>
      <c r="O173" s="391">
        <v>106</v>
      </c>
      <c r="P173" s="391">
        <v>109</v>
      </c>
      <c r="Q173" s="391">
        <v>112</v>
      </c>
      <c r="R173" s="391">
        <v>115</v>
      </c>
      <c r="AC173" s="380">
        <v>47</v>
      </c>
      <c r="AD173" s="384">
        <v>72</v>
      </c>
      <c r="AE173" s="384">
        <v>72</v>
      </c>
      <c r="AF173" s="384">
        <v>72</v>
      </c>
      <c r="AG173" s="384">
        <v>72</v>
      </c>
      <c r="AH173" s="384">
        <v>75</v>
      </c>
      <c r="AI173" s="384">
        <v>79</v>
      </c>
      <c r="AJ173" s="384">
        <v>82</v>
      </c>
      <c r="AK173" s="384">
        <v>85</v>
      </c>
      <c r="AL173" s="384">
        <v>88</v>
      </c>
      <c r="AM173" s="384">
        <v>94</v>
      </c>
      <c r="AN173" s="384">
        <v>100</v>
      </c>
      <c r="AO173" s="384">
        <v>103</v>
      </c>
      <c r="AP173" s="384">
        <v>106</v>
      </c>
      <c r="AQ173" s="384">
        <v>109</v>
      </c>
      <c r="AR173" s="384">
        <v>112</v>
      </c>
      <c r="AS173" s="384">
        <v>115</v>
      </c>
      <c r="AT173" s="384">
        <v>118</v>
      </c>
      <c r="BE173" s="380">
        <v>47</v>
      </c>
      <c r="BF173" s="384">
        <v>72</v>
      </c>
      <c r="BG173" s="384">
        <v>72</v>
      </c>
      <c r="BH173" s="384">
        <v>72</v>
      </c>
      <c r="BI173" s="384">
        <v>72</v>
      </c>
      <c r="BJ173" s="384">
        <v>75</v>
      </c>
      <c r="BK173" s="384">
        <v>79</v>
      </c>
      <c r="BL173" s="384">
        <v>82</v>
      </c>
      <c r="BM173" s="384">
        <v>85</v>
      </c>
      <c r="BN173" s="384">
        <v>91</v>
      </c>
      <c r="BO173" s="384">
        <v>94</v>
      </c>
      <c r="BP173" s="384">
        <v>100</v>
      </c>
      <c r="BQ173" s="384">
        <v>103</v>
      </c>
      <c r="BR173" s="384">
        <v>106</v>
      </c>
      <c r="BS173" s="384">
        <v>112</v>
      </c>
      <c r="BT173" s="384">
        <v>115</v>
      </c>
      <c r="BU173" s="384">
        <v>118</v>
      </c>
      <c r="BV173" s="384">
        <v>118</v>
      </c>
      <c r="CG173" s="380">
        <v>47</v>
      </c>
      <c r="CH173" s="384">
        <v>79</v>
      </c>
      <c r="CI173" s="384">
        <v>79</v>
      </c>
      <c r="CJ173" s="384">
        <v>79</v>
      </c>
      <c r="CK173" s="384">
        <v>82</v>
      </c>
      <c r="CL173" s="384">
        <v>85</v>
      </c>
      <c r="CM173" s="384">
        <v>88</v>
      </c>
      <c r="CN173" s="384">
        <v>88</v>
      </c>
      <c r="CO173" s="384">
        <v>91</v>
      </c>
      <c r="CP173" s="384">
        <v>97</v>
      </c>
      <c r="CQ173" s="384">
        <v>100</v>
      </c>
      <c r="CR173" s="384">
        <v>106</v>
      </c>
      <c r="CS173" s="384">
        <v>109</v>
      </c>
      <c r="CT173" s="384">
        <v>112</v>
      </c>
      <c r="CU173" s="384">
        <v>118</v>
      </c>
      <c r="CV173" s="384">
        <v>122</v>
      </c>
      <c r="CW173" s="384">
        <v>125</v>
      </c>
      <c r="CX173" s="384">
        <v>125</v>
      </c>
      <c r="DI173" s="380">
        <v>47</v>
      </c>
      <c r="DJ173" s="384">
        <v>91</v>
      </c>
      <c r="DK173" s="384">
        <v>91</v>
      </c>
      <c r="DL173" s="384">
        <v>91</v>
      </c>
      <c r="DM173" s="384">
        <v>94</v>
      </c>
      <c r="DN173" s="384">
        <v>97</v>
      </c>
      <c r="DO173" s="384">
        <v>100</v>
      </c>
      <c r="DP173" s="384">
        <v>103</v>
      </c>
      <c r="DQ173" s="384">
        <v>106</v>
      </c>
      <c r="DR173" s="384">
        <v>115</v>
      </c>
      <c r="DS173" s="384">
        <v>118</v>
      </c>
      <c r="DT173" s="384">
        <v>125</v>
      </c>
      <c r="DU173" s="384">
        <v>128</v>
      </c>
      <c r="DV173" s="384">
        <v>132</v>
      </c>
      <c r="DW173" s="384">
        <v>135</v>
      </c>
      <c r="DX173" s="384">
        <v>135</v>
      </c>
      <c r="DY173" s="384">
        <v>138</v>
      </c>
      <c r="DZ173" s="384">
        <v>142</v>
      </c>
    </row>
    <row r="174" spans="1:130" x14ac:dyDescent="0.15">
      <c r="A174" s="390">
        <v>48</v>
      </c>
      <c r="B174" s="391">
        <v>68</v>
      </c>
      <c r="C174" s="391">
        <v>68</v>
      </c>
      <c r="D174" s="391">
        <v>68</v>
      </c>
      <c r="E174" s="391">
        <v>68</v>
      </c>
      <c r="F174" s="391">
        <v>68</v>
      </c>
      <c r="G174" s="391">
        <v>72</v>
      </c>
      <c r="H174" s="391">
        <v>75</v>
      </c>
      <c r="I174" s="391">
        <v>82</v>
      </c>
      <c r="J174" s="391">
        <v>85</v>
      </c>
      <c r="K174" s="391">
        <v>91</v>
      </c>
      <c r="L174" s="391">
        <v>94</v>
      </c>
      <c r="M174" s="391">
        <v>100</v>
      </c>
      <c r="N174" s="391">
        <v>103</v>
      </c>
      <c r="O174" s="391">
        <v>106</v>
      </c>
      <c r="P174" s="391">
        <v>109</v>
      </c>
      <c r="Q174" s="391">
        <v>112</v>
      </c>
      <c r="R174" s="391">
        <v>115</v>
      </c>
      <c r="AC174" s="380">
        <v>48</v>
      </c>
      <c r="AD174" s="384">
        <v>72</v>
      </c>
      <c r="AE174" s="384">
        <v>72</v>
      </c>
      <c r="AF174" s="384">
        <v>72</v>
      </c>
      <c r="AG174" s="384">
        <v>72</v>
      </c>
      <c r="AH174" s="384">
        <v>75</v>
      </c>
      <c r="AI174" s="384">
        <v>79</v>
      </c>
      <c r="AJ174" s="384">
        <v>82</v>
      </c>
      <c r="AK174" s="384">
        <v>85</v>
      </c>
      <c r="AL174" s="384">
        <v>88</v>
      </c>
      <c r="AM174" s="384">
        <v>94</v>
      </c>
      <c r="AN174" s="384">
        <v>100</v>
      </c>
      <c r="AO174" s="384">
        <v>103</v>
      </c>
      <c r="AP174" s="384">
        <v>106</v>
      </c>
      <c r="AQ174" s="384">
        <v>109</v>
      </c>
      <c r="AR174" s="384">
        <v>112</v>
      </c>
      <c r="AS174" s="384">
        <v>115</v>
      </c>
      <c r="AT174" s="384">
        <v>118</v>
      </c>
      <c r="BE174" s="380">
        <v>48</v>
      </c>
      <c r="BF174" s="384">
        <v>72</v>
      </c>
      <c r="BG174" s="384">
        <v>72</v>
      </c>
      <c r="BH174" s="384">
        <v>72</v>
      </c>
      <c r="BI174" s="384">
        <v>72</v>
      </c>
      <c r="BJ174" s="384">
        <v>75</v>
      </c>
      <c r="BK174" s="384">
        <v>79</v>
      </c>
      <c r="BL174" s="384">
        <v>82</v>
      </c>
      <c r="BM174" s="384">
        <v>85</v>
      </c>
      <c r="BN174" s="384">
        <v>91</v>
      </c>
      <c r="BO174" s="384">
        <v>94</v>
      </c>
      <c r="BP174" s="384">
        <v>100</v>
      </c>
      <c r="BQ174" s="384">
        <v>103</v>
      </c>
      <c r="BR174" s="384">
        <v>106</v>
      </c>
      <c r="BS174" s="384">
        <v>112</v>
      </c>
      <c r="BT174" s="384">
        <v>115</v>
      </c>
      <c r="BU174" s="384">
        <v>118</v>
      </c>
      <c r="BV174" s="384">
        <v>118</v>
      </c>
      <c r="CG174" s="380">
        <v>48</v>
      </c>
      <c r="CH174" s="384">
        <v>82</v>
      </c>
      <c r="CI174" s="384">
        <v>82</v>
      </c>
      <c r="CJ174" s="384">
        <v>82</v>
      </c>
      <c r="CK174" s="384">
        <v>85</v>
      </c>
      <c r="CL174" s="384">
        <v>88</v>
      </c>
      <c r="CM174" s="384">
        <v>91</v>
      </c>
      <c r="CN174" s="384">
        <v>91</v>
      </c>
      <c r="CO174" s="384">
        <v>94</v>
      </c>
      <c r="CP174" s="384">
        <v>100</v>
      </c>
      <c r="CQ174" s="384">
        <v>103</v>
      </c>
      <c r="CR174" s="384">
        <v>109</v>
      </c>
      <c r="CS174" s="384">
        <v>112</v>
      </c>
      <c r="CT174" s="384">
        <v>115</v>
      </c>
      <c r="CU174" s="384">
        <v>122</v>
      </c>
      <c r="CV174" s="384">
        <v>125</v>
      </c>
      <c r="CW174" s="384">
        <v>128</v>
      </c>
      <c r="CX174" s="384">
        <v>128</v>
      </c>
      <c r="DI174" s="380">
        <v>48</v>
      </c>
      <c r="DJ174" s="384">
        <v>91</v>
      </c>
      <c r="DK174" s="384">
        <v>91</v>
      </c>
      <c r="DL174" s="384">
        <v>91</v>
      </c>
      <c r="DM174" s="384">
        <v>94</v>
      </c>
      <c r="DN174" s="384">
        <v>97</v>
      </c>
      <c r="DO174" s="384">
        <v>100</v>
      </c>
      <c r="DP174" s="384">
        <v>103</v>
      </c>
      <c r="DQ174" s="384">
        <v>106</v>
      </c>
      <c r="DR174" s="384">
        <v>115</v>
      </c>
      <c r="DS174" s="384">
        <v>118</v>
      </c>
      <c r="DT174" s="384">
        <v>125</v>
      </c>
      <c r="DU174" s="384">
        <v>128</v>
      </c>
      <c r="DV174" s="384">
        <v>132</v>
      </c>
      <c r="DW174" s="384">
        <v>135</v>
      </c>
      <c r="DX174" s="384">
        <v>135</v>
      </c>
      <c r="DY174" s="384">
        <v>138</v>
      </c>
      <c r="DZ174" s="384">
        <v>142</v>
      </c>
    </row>
    <row r="175" spans="1:130" x14ac:dyDescent="0.15">
      <c r="A175" s="390">
        <v>49</v>
      </c>
      <c r="B175" s="391">
        <v>72</v>
      </c>
      <c r="C175" s="391">
        <v>72</v>
      </c>
      <c r="D175" s="391">
        <v>72</v>
      </c>
      <c r="E175" s="391">
        <v>72</v>
      </c>
      <c r="F175" s="391">
        <v>72</v>
      </c>
      <c r="G175" s="391">
        <v>75</v>
      </c>
      <c r="H175" s="391">
        <v>79</v>
      </c>
      <c r="I175" s="391">
        <v>85</v>
      </c>
      <c r="J175" s="391">
        <v>88</v>
      </c>
      <c r="K175" s="391">
        <v>94</v>
      </c>
      <c r="L175" s="391">
        <v>97</v>
      </c>
      <c r="M175" s="391">
        <v>103</v>
      </c>
      <c r="N175" s="391">
        <v>106</v>
      </c>
      <c r="O175" s="391">
        <v>109</v>
      </c>
      <c r="P175" s="391">
        <v>112</v>
      </c>
      <c r="Q175" s="391">
        <v>115</v>
      </c>
      <c r="R175" s="391">
        <v>118</v>
      </c>
      <c r="AC175" s="380">
        <v>49</v>
      </c>
      <c r="AD175" s="384">
        <v>75</v>
      </c>
      <c r="AE175" s="384">
        <v>75</v>
      </c>
      <c r="AF175" s="384">
        <v>75</v>
      </c>
      <c r="AG175" s="384">
        <v>75</v>
      </c>
      <c r="AH175" s="384">
        <v>79</v>
      </c>
      <c r="AI175" s="384">
        <v>82</v>
      </c>
      <c r="AJ175" s="384">
        <v>85</v>
      </c>
      <c r="AK175" s="384">
        <v>88</v>
      </c>
      <c r="AL175" s="384">
        <v>91</v>
      </c>
      <c r="AM175" s="384">
        <v>97</v>
      </c>
      <c r="AN175" s="384">
        <v>103</v>
      </c>
      <c r="AO175" s="384">
        <v>106</v>
      </c>
      <c r="AP175" s="384">
        <v>109</v>
      </c>
      <c r="AQ175" s="384">
        <v>112</v>
      </c>
      <c r="AR175" s="384">
        <v>115</v>
      </c>
      <c r="AS175" s="384">
        <v>118</v>
      </c>
      <c r="AT175" s="384">
        <v>122</v>
      </c>
      <c r="BE175" s="380">
        <v>49</v>
      </c>
      <c r="BF175" s="384">
        <v>75</v>
      </c>
      <c r="BG175" s="384">
        <v>75</v>
      </c>
      <c r="BH175" s="384">
        <v>75</v>
      </c>
      <c r="BI175" s="384">
        <v>75</v>
      </c>
      <c r="BJ175" s="384">
        <v>79</v>
      </c>
      <c r="BK175" s="384">
        <v>82</v>
      </c>
      <c r="BL175" s="384">
        <v>85</v>
      </c>
      <c r="BM175" s="384">
        <v>88</v>
      </c>
      <c r="BN175" s="384">
        <v>94</v>
      </c>
      <c r="BO175" s="384">
        <v>97</v>
      </c>
      <c r="BP175" s="384">
        <v>103</v>
      </c>
      <c r="BQ175" s="384">
        <v>106</v>
      </c>
      <c r="BR175" s="384">
        <v>109</v>
      </c>
      <c r="BS175" s="384">
        <v>115</v>
      </c>
      <c r="BT175" s="384">
        <v>118</v>
      </c>
      <c r="BU175" s="384">
        <v>122</v>
      </c>
      <c r="BV175" s="384">
        <v>122</v>
      </c>
      <c r="CG175" s="380">
        <v>49</v>
      </c>
      <c r="CH175" s="384">
        <v>82</v>
      </c>
      <c r="CI175" s="384">
        <v>82</v>
      </c>
      <c r="CJ175" s="384">
        <v>82</v>
      </c>
      <c r="CK175" s="384">
        <v>85</v>
      </c>
      <c r="CL175" s="384">
        <v>88</v>
      </c>
      <c r="CM175" s="384">
        <v>91</v>
      </c>
      <c r="CN175" s="384">
        <v>91</v>
      </c>
      <c r="CO175" s="384">
        <v>94</v>
      </c>
      <c r="CP175" s="384">
        <v>100</v>
      </c>
      <c r="CQ175" s="384">
        <v>103</v>
      </c>
      <c r="CR175" s="384">
        <v>109</v>
      </c>
      <c r="CS175" s="384">
        <v>112</v>
      </c>
      <c r="CT175" s="384">
        <v>115</v>
      </c>
      <c r="CU175" s="384">
        <v>122</v>
      </c>
      <c r="CV175" s="384">
        <v>125</v>
      </c>
      <c r="CW175" s="384">
        <v>128</v>
      </c>
      <c r="CX175" s="384">
        <v>128</v>
      </c>
      <c r="DI175" s="380">
        <v>49</v>
      </c>
      <c r="DJ175" s="384">
        <v>94</v>
      </c>
      <c r="DK175" s="384">
        <v>94</v>
      </c>
      <c r="DL175" s="384">
        <v>94</v>
      </c>
      <c r="DM175" s="384">
        <v>97</v>
      </c>
      <c r="DN175" s="384">
        <v>100</v>
      </c>
      <c r="DO175" s="384">
        <v>103</v>
      </c>
      <c r="DP175" s="384">
        <v>106</v>
      </c>
      <c r="DQ175" s="384">
        <v>109</v>
      </c>
      <c r="DR175" s="384">
        <v>118</v>
      </c>
      <c r="DS175" s="384">
        <v>122</v>
      </c>
      <c r="DT175" s="384">
        <v>128</v>
      </c>
      <c r="DU175" s="384">
        <v>132</v>
      </c>
      <c r="DV175" s="384">
        <v>135</v>
      </c>
      <c r="DW175" s="384">
        <v>138</v>
      </c>
      <c r="DX175" s="384">
        <v>138</v>
      </c>
      <c r="DY175" s="384">
        <v>142</v>
      </c>
      <c r="DZ175" s="384">
        <v>146</v>
      </c>
    </row>
    <row r="176" spans="1:130" x14ac:dyDescent="0.15">
      <c r="A176" s="390">
        <v>50</v>
      </c>
      <c r="B176" s="391">
        <v>72</v>
      </c>
      <c r="C176" s="391">
        <v>72</v>
      </c>
      <c r="D176" s="391">
        <v>72</v>
      </c>
      <c r="E176" s="391">
        <v>72</v>
      </c>
      <c r="F176" s="391">
        <v>72</v>
      </c>
      <c r="G176" s="391">
        <v>75</v>
      </c>
      <c r="H176" s="391">
        <v>79</v>
      </c>
      <c r="I176" s="391">
        <v>85</v>
      </c>
      <c r="J176" s="391">
        <v>88</v>
      </c>
      <c r="K176" s="391">
        <v>94</v>
      </c>
      <c r="L176" s="391">
        <v>97</v>
      </c>
      <c r="M176" s="391">
        <v>103</v>
      </c>
      <c r="N176" s="391">
        <v>106</v>
      </c>
      <c r="O176" s="391">
        <v>109</v>
      </c>
      <c r="P176" s="391">
        <v>112</v>
      </c>
      <c r="Q176" s="391">
        <v>115</v>
      </c>
      <c r="R176" s="391">
        <v>118</v>
      </c>
      <c r="AC176" s="380">
        <v>50</v>
      </c>
      <c r="AD176" s="384">
        <v>75</v>
      </c>
      <c r="AE176" s="384">
        <v>75</v>
      </c>
      <c r="AF176" s="384">
        <v>75</v>
      </c>
      <c r="AG176" s="384">
        <v>75</v>
      </c>
      <c r="AH176" s="384">
        <v>79</v>
      </c>
      <c r="AI176" s="384">
        <v>82</v>
      </c>
      <c r="AJ176" s="384">
        <v>85</v>
      </c>
      <c r="AK176" s="384">
        <v>88</v>
      </c>
      <c r="AL176" s="384">
        <v>91</v>
      </c>
      <c r="AM176" s="384">
        <v>97</v>
      </c>
      <c r="AN176" s="384">
        <v>103</v>
      </c>
      <c r="AO176" s="384">
        <v>106</v>
      </c>
      <c r="AP176" s="384">
        <v>109</v>
      </c>
      <c r="AQ176" s="384">
        <v>112</v>
      </c>
      <c r="AR176" s="384">
        <v>115</v>
      </c>
      <c r="AS176" s="384">
        <v>118</v>
      </c>
      <c r="AT176" s="384">
        <v>122</v>
      </c>
      <c r="BE176" s="380">
        <v>50</v>
      </c>
      <c r="BF176" s="384">
        <v>79</v>
      </c>
      <c r="BG176" s="384">
        <v>79</v>
      </c>
      <c r="BH176" s="384">
        <v>79</v>
      </c>
      <c r="BI176" s="384">
        <v>79</v>
      </c>
      <c r="BJ176" s="384">
        <v>82</v>
      </c>
      <c r="BK176" s="384">
        <v>85</v>
      </c>
      <c r="BL176" s="384">
        <v>88</v>
      </c>
      <c r="BM176" s="384">
        <v>91</v>
      </c>
      <c r="BN176" s="384">
        <v>97</v>
      </c>
      <c r="BO176" s="384">
        <v>100</v>
      </c>
      <c r="BP176" s="384">
        <v>106</v>
      </c>
      <c r="BQ176" s="384">
        <v>109</v>
      </c>
      <c r="BR176" s="384">
        <v>112</v>
      </c>
      <c r="BS176" s="384">
        <v>118</v>
      </c>
      <c r="BT176" s="384">
        <v>122</v>
      </c>
      <c r="BU176" s="384">
        <v>125</v>
      </c>
      <c r="BV176" s="384">
        <v>125</v>
      </c>
      <c r="CG176" s="380">
        <v>50</v>
      </c>
      <c r="CH176" s="384">
        <v>82</v>
      </c>
      <c r="CI176" s="384">
        <v>82</v>
      </c>
      <c r="CJ176" s="384">
        <v>82</v>
      </c>
      <c r="CK176" s="384">
        <v>85</v>
      </c>
      <c r="CL176" s="384">
        <v>88</v>
      </c>
      <c r="CM176" s="384">
        <v>91</v>
      </c>
      <c r="CN176" s="384">
        <v>91</v>
      </c>
      <c r="CO176" s="384">
        <v>94</v>
      </c>
      <c r="CP176" s="384">
        <v>100</v>
      </c>
      <c r="CQ176" s="384">
        <v>103</v>
      </c>
      <c r="CR176" s="384">
        <v>109</v>
      </c>
      <c r="CS176" s="384">
        <v>112</v>
      </c>
      <c r="CT176" s="384">
        <v>115</v>
      </c>
      <c r="CU176" s="384">
        <v>122</v>
      </c>
      <c r="CV176" s="384">
        <v>125</v>
      </c>
      <c r="CW176" s="384">
        <v>128</v>
      </c>
      <c r="CX176" s="384">
        <v>128</v>
      </c>
      <c r="DI176" s="380">
        <v>50</v>
      </c>
      <c r="DJ176" s="384">
        <v>94</v>
      </c>
      <c r="DK176" s="384">
        <v>94</v>
      </c>
      <c r="DL176" s="384">
        <v>94</v>
      </c>
      <c r="DM176" s="384">
        <v>97</v>
      </c>
      <c r="DN176" s="384">
        <v>100</v>
      </c>
      <c r="DO176" s="384">
        <v>103</v>
      </c>
      <c r="DP176" s="384">
        <v>106</v>
      </c>
      <c r="DQ176" s="384">
        <v>109</v>
      </c>
      <c r="DR176" s="384">
        <v>118</v>
      </c>
      <c r="DS176" s="384">
        <v>122</v>
      </c>
      <c r="DT176" s="384">
        <v>128</v>
      </c>
      <c r="DU176" s="384">
        <v>132</v>
      </c>
      <c r="DV176" s="384">
        <v>135</v>
      </c>
      <c r="DW176" s="384">
        <v>138</v>
      </c>
      <c r="DX176" s="384">
        <v>138</v>
      </c>
      <c r="DY176" s="384">
        <v>142</v>
      </c>
      <c r="DZ176" s="384">
        <v>146</v>
      </c>
    </row>
    <row r="177" spans="1:130" x14ac:dyDescent="0.15">
      <c r="A177" s="390">
        <v>51</v>
      </c>
      <c r="B177" s="391">
        <v>72</v>
      </c>
      <c r="C177" s="391">
        <v>72</v>
      </c>
      <c r="D177" s="391">
        <v>72</v>
      </c>
      <c r="E177" s="391">
        <v>72</v>
      </c>
      <c r="F177" s="391">
        <v>72</v>
      </c>
      <c r="G177" s="391">
        <v>75</v>
      </c>
      <c r="H177" s="391">
        <v>79</v>
      </c>
      <c r="I177" s="391">
        <v>85</v>
      </c>
      <c r="J177" s="391">
        <v>88</v>
      </c>
      <c r="K177" s="391">
        <v>94</v>
      </c>
      <c r="L177" s="391">
        <v>97</v>
      </c>
      <c r="M177" s="391">
        <v>103</v>
      </c>
      <c r="N177" s="391">
        <v>106</v>
      </c>
      <c r="O177" s="391">
        <v>109</v>
      </c>
      <c r="P177" s="391">
        <v>112</v>
      </c>
      <c r="Q177" s="391">
        <v>115</v>
      </c>
      <c r="R177" s="391">
        <v>118</v>
      </c>
      <c r="AC177" s="380">
        <v>51</v>
      </c>
      <c r="AD177" s="384">
        <v>79</v>
      </c>
      <c r="AE177" s="384">
        <v>79</v>
      </c>
      <c r="AF177" s="384">
        <v>79</v>
      </c>
      <c r="AG177" s="384">
        <v>79</v>
      </c>
      <c r="AH177" s="384">
        <v>82</v>
      </c>
      <c r="AI177" s="384">
        <v>85</v>
      </c>
      <c r="AJ177" s="384">
        <v>88</v>
      </c>
      <c r="AK177" s="384">
        <v>91</v>
      </c>
      <c r="AL177" s="384">
        <v>94</v>
      </c>
      <c r="AM177" s="384">
        <v>100</v>
      </c>
      <c r="AN177" s="384">
        <v>106</v>
      </c>
      <c r="AO177" s="384">
        <v>109</v>
      </c>
      <c r="AP177" s="384">
        <v>112</v>
      </c>
      <c r="AQ177" s="384">
        <v>115</v>
      </c>
      <c r="AR177" s="384">
        <v>118</v>
      </c>
      <c r="AS177" s="384">
        <v>122</v>
      </c>
      <c r="AT177" s="384">
        <v>125</v>
      </c>
      <c r="BE177" s="380">
        <v>51</v>
      </c>
      <c r="BF177" s="384">
        <v>79</v>
      </c>
      <c r="BG177" s="384">
        <v>79</v>
      </c>
      <c r="BH177" s="384">
        <v>79</v>
      </c>
      <c r="BI177" s="384">
        <v>79</v>
      </c>
      <c r="BJ177" s="384">
        <v>82</v>
      </c>
      <c r="BK177" s="384">
        <v>85</v>
      </c>
      <c r="BL177" s="384">
        <v>88</v>
      </c>
      <c r="BM177" s="384">
        <v>91</v>
      </c>
      <c r="BN177" s="384">
        <v>97</v>
      </c>
      <c r="BO177" s="384">
        <v>100</v>
      </c>
      <c r="BP177" s="384">
        <v>106</v>
      </c>
      <c r="BQ177" s="384">
        <v>109</v>
      </c>
      <c r="BR177" s="384">
        <v>112</v>
      </c>
      <c r="BS177" s="384">
        <v>118</v>
      </c>
      <c r="BT177" s="384">
        <v>122</v>
      </c>
      <c r="BU177" s="384">
        <v>125</v>
      </c>
      <c r="BV177" s="384">
        <v>125</v>
      </c>
      <c r="CG177" s="380">
        <v>51</v>
      </c>
      <c r="CH177" s="384">
        <v>85</v>
      </c>
      <c r="CI177" s="384">
        <v>85</v>
      </c>
      <c r="CJ177" s="384">
        <v>85</v>
      </c>
      <c r="CK177" s="384">
        <v>88</v>
      </c>
      <c r="CL177" s="384">
        <v>91</v>
      </c>
      <c r="CM177" s="384">
        <v>94</v>
      </c>
      <c r="CN177" s="384">
        <v>94</v>
      </c>
      <c r="CO177" s="384">
        <v>97</v>
      </c>
      <c r="CP177" s="384">
        <v>103</v>
      </c>
      <c r="CQ177" s="384">
        <v>106</v>
      </c>
      <c r="CR177" s="384">
        <v>112</v>
      </c>
      <c r="CS177" s="384">
        <v>115</v>
      </c>
      <c r="CT177" s="384">
        <v>118</v>
      </c>
      <c r="CU177" s="384">
        <v>125</v>
      </c>
      <c r="CV177" s="384">
        <v>128</v>
      </c>
      <c r="CW177" s="384">
        <v>132</v>
      </c>
      <c r="CX177" s="384">
        <v>132</v>
      </c>
      <c r="DI177" s="380">
        <v>51</v>
      </c>
      <c r="DJ177" s="384">
        <v>94</v>
      </c>
      <c r="DK177" s="384">
        <v>94</v>
      </c>
      <c r="DL177" s="384">
        <v>94</v>
      </c>
      <c r="DM177" s="384">
        <v>97</v>
      </c>
      <c r="DN177" s="384">
        <v>100</v>
      </c>
      <c r="DO177" s="384">
        <v>103</v>
      </c>
      <c r="DP177" s="384">
        <v>106</v>
      </c>
      <c r="DQ177" s="384">
        <v>109</v>
      </c>
      <c r="DR177" s="384">
        <v>118</v>
      </c>
      <c r="DS177" s="384">
        <v>122</v>
      </c>
      <c r="DT177" s="384">
        <v>128</v>
      </c>
      <c r="DU177" s="384">
        <v>132</v>
      </c>
      <c r="DV177" s="384">
        <v>135</v>
      </c>
      <c r="DW177" s="384">
        <v>138</v>
      </c>
      <c r="DX177" s="384">
        <v>138</v>
      </c>
      <c r="DY177" s="384">
        <v>142</v>
      </c>
      <c r="DZ177" s="384">
        <v>146</v>
      </c>
    </row>
    <row r="178" spans="1:130" x14ac:dyDescent="0.15">
      <c r="A178" s="390">
        <v>52</v>
      </c>
      <c r="B178" s="391">
        <v>72</v>
      </c>
      <c r="C178" s="391">
        <v>72</v>
      </c>
      <c r="D178" s="391">
        <v>72</v>
      </c>
      <c r="E178" s="391">
        <v>72</v>
      </c>
      <c r="F178" s="391">
        <v>72</v>
      </c>
      <c r="G178" s="391">
        <v>75</v>
      </c>
      <c r="H178" s="391">
        <v>79</v>
      </c>
      <c r="I178" s="391">
        <v>85</v>
      </c>
      <c r="J178" s="391">
        <v>88</v>
      </c>
      <c r="K178" s="391">
        <v>94</v>
      </c>
      <c r="L178" s="391">
        <v>97</v>
      </c>
      <c r="M178" s="391">
        <v>103</v>
      </c>
      <c r="N178" s="391">
        <v>106</v>
      </c>
      <c r="O178" s="391">
        <v>109</v>
      </c>
      <c r="P178" s="391">
        <v>112</v>
      </c>
      <c r="Q178" s="391">
        <v>115</v>
      </c>
      <c r="R178" s="391">
        <v>118</v>
      </c>
      <c r="AC178" s="380">
        <v>52</v>
      </c>
      <c r="AD178" s="384">
        <v>79</v>
      </c>
      <c r="AE178" s="384">
        <v>79</v>
      </c>
      <c r="AF178" s="384">
        <v>79</v>
      </c>
      <c r="AG178" s="384">
        <v>79</v>
      </c>
      <c r="AH178" s="384">
        <v>82</v>
      </c>
      <c r="AI178" s="384">
        <v>85</v>
      </c>
      <c r="AJ178" s="384">
        <v>88</v>
      </c>
      <c r="AK178" s="384">
        <v>91</v>
      </c>
      <c r="AL178" s="384">
        <v>94</v>
      </c>
      <c r="AM178" s="384">
        <v>100</v>
      </c>
      <c r="AN178" s="384">
        <v>106</v>
      </c>
      <c r="AO178" s="384">
        <v>109</v>
      </c>
      <c r="AP178" s="384">
        <v>112</v>
      </c>
      <c r="AQ178" s="384">
        <v>115</v>
      </c>
      <c r="AR178" s="384">
        <v>118</v>
      </c>
      <c r="AS178" s="384">
        <v>122</v>
      </c>
      <c r="AT178" s="384">
        <v>125</v>
      </c>
      <c r="BE178" s="380">
        <v>52</v>
      </c>
      <c r="BF178" s="384">
        <v>82</v>
      </c>
      <c r="BG178" s="384">
        <v>82</v>
      </c>
      <c r="BH178" s="384">
        <v>82</v>
      </c>
      <c r="BI178" s="384">
        <v>82</v>
      </c>
      <c r="BJ178" s="384">
        <v>85</v>
      </c>
      <c r="BK178" s="384">
        <v>88</v>
      </c>
      <c r="BL178" s="384">
        <v>91</v>
      </c>
      <c r="BM178" s="384">
        <v>94</v>
      </c>
      <c r="BN178" s="384">
        <v>100</v>
      </c>
      <c r="BO178" s="384">
        <v>103</v>
      </c>
      <c r="BP178" s="384">
        <v>109</v>
      </c>
      <c r="BQ178" s="384">
        <v>112</v>
      </c>
      <c r="BR178" s="384">
        <v>115</v>
      </c>
      <c r="BS178" s="384">
        <v>122</v>
      </c>
      <c r="BT178" s="384">
        <v>125</v>
      </c>
      <c r="BU178" s="384">
        <v>128</v>
      </c>
      <c r="BV178" s="384">
        <v>128</v>
      </c>
      <c r="CG178" s="380">
        <v>52</v>
      </c>
      <c r="CH178" s="384">
        <v>85</v>
      </c>
      <c r="CI178" s="384">
        <v>85</v>
      </c>
      <c r="CJ178" s="384">
        <v>85</v>
      </c>
      <c r="CK178" s="384">
        <v>88</v>
      </c>
      <c r="CL178" s="384">
        <v>91</v>
      </c>
      <c r="CM178" s="384">
        <v>94</v>
      </c>
      <c r="CN178" s="384">
        <v>94</v>
      </c>
      <c r="CO178" s="384">
        <v>97</v>
      </c>
      <c r="CP178" s="384">
        <v>103</v>
      </c>
      <c r="CQ178" s="384">
        <v>106</v>
      </c>
      <c r="CR178" s="384">
        <v>112</v>
      </c>
      <c r="CS178" s="384">
        <v>115</v>
      </c>
      <c r="CT178" s="384">
        <v>118</v>
      </c>
      <c r="CU178" s="384">
        <v>125</v>
      </c>
      <c r="CV178" s="384">
        <v>128</v>
      </c>
      <c r="CW178" s="384">
        <v>132</v>
      </c>
      <c r="CX178" s="384">
        <v>132</v>
      </c>
      <c r="DI178" s="380">
        <v>52</v>
      </c>
      <c r="DJ178" s="384">
        <v>94</v>
      </c>
      <c r="DK178" s="384">
        <v>94</v>
      </c>
      <c r="DL178" s="384">
        <v>94</v>
      </c>
      <c r="DM178" s="384">
        <v>97</v>
      </c>
      <c r="DN178" s="384">
        <v>100</v>
      </c>
      <c r="DO178" s="384">
        <v>103</v>
      </c>
      <c r="DP178" s="384">
        <v>106</v>
      </c>
      <c r="DQ178" s="384">
        <v>109</v>
      </c>
      <c r="DR178" s="384">
        <v>118</v>
      </c>
      <c r="DS178" s="384">
        <v>122</v>
      </c>
      <c r="DT178" s="384">
        <v>128</v>
      </c>
      <c r="DU178" s="384">
        <v>132</v>
      </c>
      <c r="DV178" s="384">
        <v>135</v>
      </c>
      <c r="DW178" s="384">
        <v>138</v>
      </c>
      <c r="DX178" s="384">
        <v>138</v>
      </c>
      <c r="DY178" s="384">
        <v>142</v>
      </c>
      <c r="DZ178" s="384">
        <v>146</v>
      </c>
    </row>
    <row r="179" spans="1:130" x14ac:dyDescent="0.15">
      <c r="A179" s="390">
        <v>53</v>
      </c>
      <c r="B179" s="391">
        <v>75</v>
      </c>
      <c r="C179" s="391">
        <v>75</v>
      </c>
      <c r="D179" s="391">
        <v>75</v>
      </c>
      <c r="E179" s="391">
        <v>75</v>
      </c>
      <c r="F179" s="391">
        <v>75</v>
      </c>
      <c r="G179" s="391">
        <v>79</v>
      </c>
      <c r="H179" s="391">
        <v>82</v>
      </c>
      <c r="I179" s="391">
        <v>88</v>
      </c>
      <c r="J179" s="391">
        <v>91</v>
      </c>
      <c r="K179" s="391">
        <v>97</v>
      </c>
      <c r="L179" s="391">
        <v>100</v>
      </c>
      <c r="M179" s="391">
        <v>106</v>
      </c>
      <c r="N179" s="391">
        <v>109</v>
      </c>
      <c r="O179" s="391">
        <v>112</v>
      </c>
      <c r="P179" s="391">
        <v>115</v>
      </c>
      <c r="Q179" s="391">
        <v>118</v>
      </c>
      <c r="R179" s="391">
        <v>122</v>
      </c>
      <c r="AC179" s="380">
        <v>53</v>
      </c>
      <c r="AD179" s="384">
        <v>79</v>
      </c>
      <c r="AE179" s="384">
        <v>79</v>
      </c>
      <c r="AF179" s="384">
        <v>79</v>
      </c>
      <c r="AG179" s="384">
        <v>79</v>
      </c>
      <c r="AH179" s="384">
        <v>82</v>
      </c>
      <c r="AI179" s="384">
        <v>85</v>
      </c>
      <c r="AJ179" s="384">
        <v>88</v>
      </c>
      <c r="AK179" s="384">
        <v>91</v>
      </c>
      <c r="AL179" s="384">
        <v>94</v>
      </c>
      <c r="AM179" s="384">
        <v>100</v>
      </c>
      <c r="AN179" s="384">
        <v>106</v>
      </c>
      <c r="AO179" s="384">
        <v>109</v>
      </c>
      <c r="AP179" s="384">
        <v>112</v>
      </c>
      <c r="AQ179" s="384">
        <v>115</v>
      </c>
      <c r="AR179" s="384">
        <v>118</v>
      </c>
      <c r="AS179" s="384">
        <v>122</v>
      </c>
      <c r="AT179" s="384">
        <v>125</v>
      </c>
      <c r="BE179" s="380">
        <v>53</v>
      </c>
      <c r="BF179" s="384">
        <v>82</v>
      </c>
      <c r="BG179" s="384">
        <v>82</v>
      </c>
      <c r="BH179" s="384">
        <v>82</v>
      </c>
      <c r="BI179" s="384">
        <v>82</v>
      </c>
      <c r="BJ179" s="384">
        <v>85</v>
      </c>
      <c r="BK179" s="384">
        <v>88</v>
      </c>
      <c r="BL179" s="384">
        <v>91</v>
      </c>
      <c r="BM179" s="384">
        <v>94</v>
      </c>
      <c r="BN179" s="384">
        <v>100</v>
      </c>
      <c r="BO179" s="384">
        <v>103</v>
      </c>
      <c r="BP179" s="384">
        <v>109</v>
      </c>
      <c r="BQ179" s="384">
        <v>112</v>
      </c>
      <c r="BR179" s="384">
        <v>115</v>
      </c>
      <c r="BS179" s="384">
        <v>122</v>
      </c>
      <c r="BT179" s="384">
        <v>125</v>
      </c>
      <c r="BU179" s="384">
        <v>128</v>
      </c>
      <c r="BV179" s="384">
        <v>128</v>
      </c>
      <c r="CG179" s="380">
        <v>53</v>
      </c>
      <c r="CH179" s="384">
        <v>85</v>
      </c>
      <c r="CI179" s="384">
        <v>85</v>
      </c>
      <c r="CJ179" s="384">
        <v>85</v>
      </c>
      <c r="CK179" s="384">
        <v>88</v>
      </c>
      <c r="CL179" s="384">
        <v>91</v>
      </c>
      <c r="CM179" s="384">
        <v>94</v>
      </c>
      <c r="CN179" s="384">
        <v>94</v>
      </c>
      <c r="CO179" s="384">
        <v>97</v>
      </c>
      <c r="CP179" s="384">
        <v>103</v>
      </c>
      <c r="CQ179" s="384">
        <v>106</v>
      </c>
      <c r="CR179" s="384">
        <v>112</v>
      </c>
      <c r="CS179" s="384">
        <v>115</v>
      </c>
      <c r="CT179" s="384">
        <v>118</v>
      </c>
      <c r="CU179" s="384">
        <v>125</v>
      </c>
      <c r="CV179" s="384">
        <v>128</v>
      </c>
      <c r="CW179" s="384">
        <v>132</v>
      </c>
      <c r="CX179" s="384">
        <v>132</v>
      </c>
      <c r="DI179" s="380">
        <v>53</v>
      </c>
      <c r="DJ179" s="384">
        <v>97</v>
      </c>
      <c r="DK179" s="384">
        <v>97</v>
      </c>
      <c r="DL179" s="384">
        <v>97</v>
      </c>
      <c r="DM179" s="384">
        <v>100</v>
      </c>
      <c r="DN179" s="384">
        <v>103</v>
      </c>
      <c r="DO179" s="384">
        <v>106</v>
      </c>
      <c r="DP179" s="384">
        <v>109</v>
      </c>
      <c r="DQ179" s="384">
        <v>112</v>
      </c>
      <c r="DR179" s="384">
        <v>122</v>
      </c>
      <c r="DS179" s="384">
        <v>125</v>
      </c>
      <c r="DT179" s="384">
        <v>132</v>
      </c>
      <c r="DU179" s="384">
        <v>135</v>
      </c>
      <c r="DV179" s="384">
        <v>138</v>
      </c>
      <c r="DW179" s="384">
        <v>142</v>
      </c>
      <c r="DX179" s="384">
        <v>142</v>
      </c>
      <c r="DY179" s="384">
        <v>146</v>
      </c>
      <c r="DZ179" s="384">
        <v>150</v>
      </c>
    </row>
    <row r="180" spans="1:130" x14ac:dyDescent="0.15">
      <c r="A180" s="390">
        <v>54</v>
      </c>
      <c r="B180" s="396">
        <v>75</v>
      </c>
      <c r="C180" s="391">
        <v>75</v>
      </c>
      <c r="D180" s="391">
        <v>75</v>
      </c>
      <c r="E180" s="391">
        <v>75</v>
      </c>
      <c r="F180" s="391">
        <v>75</v>
      </c>
      <c r="G180" s="391">
        <v>79</v>
      </c>
      <c r="H180" s="391">
        <v>82</v>
      </c>
      <c r="I180" s="391">
        <v>88</v>
      </c>
      <c r="J180" s="391">
        <v>91</v>
      </c>
      <c r="K180" s="391">
        <v>97</v>
      </c>
      <c r="L180" s="391">
        <v>100</v>
      </c>
      <c r="M180" s="391">
        <v>106</v>
      </c>
      <c r="N180" s="391">
        <v>109</v>
      </c>
      <c r="O180" s="391">
        <v>112</v>
      </c>
      <c r="P180" s="391">
        <v>115</v>
      </c>
      <c r="Q180" s="391">
        <v>118</v>
      </c>
      <c r="R180" s="391">
        <v>122</v>
      </c>
      <c r="AC180" s="380">
        <v>54</v>
      </c>
      <c r="AD180" s="384">
        <v>82</v>
      </c>
      <c r="AE180" s="384">
        <v>82</v>
      </c>
      <c r="AF180" s="384">
        <v>82</v>
      </c>
      <c r="AG180" s="384">
        <v>82</v>
      </c>
      <c r="AH180" s="384">
        <v>85</v>
      </c>
      <c r="AI180" s="384">
        <v>88</v>
      </c>
      <c r="AJ180" s="384">
        <v>91</v>
      </c>
      <c r="AK180" s="384">
        <v>94</v>
      </c>
      <c r="AL180" s="384">
        <v>97</v>
      </c>
      <c r="AM180" s="384">
        <v>103</v>
      </c>
      <c r="AN180" s="384">
        <v>109</v>
      </c>
      <c r="AO180" s="384">
        <v>112</v>
      </c>
      <c r="AP180" s="384">
        <v>115</v>
      </c>
      <c r="AQ180" s="384">
        <v>118</v>
      </c>
      <c r="AR180" s="384">
        <v>122</v>
      </c>
      <c r="AS180" s="384">
        <v>125</v>
      </c>
      <c r="AT180" s="384">
        <v>128</v>
      </c>
      <c r="BE180" s="380">
        <v>54</v>
      </c>
      <c r="BF180" s="384">
        <v>85</v>
      </c>
      <c r="BG180" s="384">
        <v>85</v>
      </c>
      <c r="BH180" s="384">
        <v>85</v>
      </c>
      <c r="BI180" s="384">
        <v>85</v>
      </c>
      <c r="BJ180" s="384">
        <v>88</v>
      </c>
      <c r="BK180" s="384">
        <v>91</v>
      </c>
      <c r="BL180" s="384">
        <v>94</v>
      </c>
      <c r="BM180" s="384">
        <v>97</v>
      </c>
      <c r="BN180" s="384">
        <v>103</v>
      </c>
      <c r="BO180" s="384">
        <v>106</v>
      </c>
      <c r="BP180" s="384">
        <v>112</v>
      </c>
      <c r="BQ180" s="384">
        <v>115</v>
      </c>
      <c r="BR180" s="384">
        <v>118</v>
      </c>
      <c r="BS180" s="384">
        <v>125</v>
      </c>
      <c r="BT180" s="384">
        <v>128</v>
      </c>
      <c r="BU180" s="384">
        <v>132</v>
      </c>
      <c r="BV180" s="384">
        <v>132</v>
      </c>
      <c r="CG180" s="380">
        <v>54</v>
      </c>
      <c r="CH180" s="384">
        <v>88</v>
      </c>
      <c r="CI180" s="384">
        <v>88</v>
      </c>
      <c r="CJ180" s="384">
        <v>88</v>
      </c>
      <c r="CK180" s="384">
        <v>91</v>
      </c>
      <c r="CL180" s="384">
        <v>94</v>
      </c>
      <c r="CM180" s="384">
        <v>97</v>
      </c>
      <c r="CN180" s="384">
        <v>97</v>
      </c>
      <c r="CO180" s="384">
        <v>100</v>
      </c>
      <c r="CP180" s="384">
        <v>106</v>
      </c>
      <c r="CQ180" s="384">
        <v>109</v>
      </c>
      <c r="CR180" s="384">
        <v>115</v>
      </c>
      <c r="CS180" s="384">
        <v>118</v>
      </c>
      <c r="CT180" s="384">
        <v>122</v>
      </c>
      <c r="CU180" s="384">
        <v>128</v>
      </c>
      <c r="CV180" s="384">
        <v>132</v>
      </c>
      <c r="CW180" s="384">
        <v>135</v>
      </c>
      <c r="CX180" s="384">
        <v>135</v>
      </c>
      <c r="DI180" s="380">
        <v>54</v>
      </c>
      <c r="DJ180" s="384">
        <v>97</v>
      </c>
      <c r="DK180" s="384">
        <v>97</v>
      </c>
      <c r="DL180" s="384">
        <v>97</v>
      </c>
      <c r="DM180" s="384">
        <v>100</v>
      </c>
      <c r="DN180" s="384">
        <v>103</v>
      </c>
      <c r="DO180" s="384">
        <v>106</v>
      </c>
      <c r="DP180" s="384">
        <v>109</v>
      </c>
      <c r="DQ180" s="384">
        <v>112</v>
      </c>
      <c r="DR180" s="384">
        <v>122</v>
      </c>
      <c r="DS180" s="384">
        <v>125</v>
      </c>
      <c r="DT180" s="384">
        <v>132</v>
      </c>
      <c r="DU180" s="384">
        <v>135</v>
      </c>
      <c r="DV180" s="384">
        <v>138</v>
      </c>
      <c r="DW180" s="384">
        <v>142</v>
      </c>
      <c r="DX180" s="384">
        <v>142</v>
      </c>
      <c r="DY180" s="384">
        <v>146</v>
      </c>
      <c r="DZ180" s="384">
        <v>150</v>
      </c>
    </row>
    <row r="181" spans="1:130" x14ac:dyDescent="0.15">
      <c r="A181" s="390">
        <v>55</v>
      </c>
      <c r="B181" s="391">
        <v>79</v>
      </c>
      <c r="C181" s="391">
        <v>79</v>
      </c>
      <c r="D181" s="391">
        <v>79</v>
      </c>
      <c r="E181" s="391">
        <v>79</v>
      </c>
      <c r="F181" s="391">
        <v>79</v>
      </c>
      <c r="G181" s="391">
        <v>82</v>
      </c>
      <c r="H181" s="391">
        <v>85</v>
      </c>
      <c r="I181" s="391">
        <v>91</v>
      </c>
      <c r="J181" s="391">
        <v>94</v>
      </c>
      <c r="K181" s="391">
        <v>100</v>
      </c>
      <c r="L181" s="391">
        <v>103</v>
      </c>
      <c r="M181" s="391">
        <v>109</v>
      </c>
      <c r="N181" s="391">
        <v>112</v>
      </c>
      <c r="O181" s="391">
        <v>115</v>
      </c>
      <c r="P181" s="391">
        <v>118</v>
      </c>
      <c r="Q181" s="391">
        <v>122</v>
      </c>
      <c r="R181" s="391">
        <v>125</v>
      </c>
      <c r="AC181" s="380">
        <v>55</v>
      </c>
      <c r="AD181" s="384">
        <v>82</v>
      </c>
      <c r="AE181" s="384">
        <v>82</v>
      </c>
      <c r="AF181" s="384">
        <v>82</v>
      </c>
      <c r="AG181" s="384">
        <v>82</v>
      </c>
      <c r="AH181" s="384">
        <v>85</v>
      </c>
      <c r="AI181" s="384">
        <v>88</v>
      </c>
      <c r="AJ181" s="384">
        <v>91</v>
      </c>
      <c r="AK181" s="384">
        <v>94</v>
      </c>
      <c r="AL181" s="384">
        <v>97</v>
      </c>
      <c r="AM181" s="384">
        <v>103</v>
      </c>
      <c r="AN181" s="384">
        <v>109</v>
      </c>
      <c r="AO181" s="384">
        <v>112</v>
      </c>
      <c r="AP181" s="384">
        <v>115</v>
      </c>
      <c r="AQ181" s="384">
        <v>118</v>
      </c>
      <c r="AR181" s="384">
        <v>122</v>
      </c>
      <c r="AS181" s="384">
        <v>125</v>
      </c>
      <c r="AT181" s="384">
        <v>128</v>
      </c>
      <c r="BE181" s="380">
        <v>55</v>
      </c>
      <c r="BF181" s="384">
        <v>85</v>
      </c>
      <c r="BG181" s="384">
        <v>85</v>
      </c>
      <c r="BH181" s="384">
        <v>85</v>
      </c>
      <c r="BI181" s="384">
        <v>85</v>
      </c>
      <c r="BJ181" s="384">
        <v>88</v>
      </c>
      <c r="BK181" s="384">
        <v>91</v>
      </c>
      <c r="BL181" s="384">
        <v>94</v>
      </c>
      <c r="BM181" s="384">
        <v>97</v>
      </c>
      <c r="BN181" s="384">
        <v>103</v>
      </c>
      <c r="BO181" s="384">
        <v>106</v>
      </c>
      <c r="BP181" s="384">
        <v>112</v>
      </c>
      <c r="BQ181" s="384">
        <v>115</v>
      </c>
      <c r="BR181" s="384">
        <v>118</v>
      </c>
      <c r="BS181" s="384">
        <v>125</v>
      </c>
      <c r="BT181" s="384">
        <v>128</v>
      </c>
      <c r="BU181" s="384">
        <v>132</v>
      </c>
      <c r="BV181" s="384">
        <v>132</v>
      </c>
      <c r="CG181" s="380">
        <v>55</v>
      </c>
      <c r="CH181" s="384">
        <v>88</v>
      </c>
      <c r="CI181" s="384">
        <v>88</v>
      </c>
      <c r="CJ181" s="384">
        <v>88</v>
      </c>
      <c r="CK181" s="384">
        <v>91</v>
      </c>
      <c r="CL181" s="384">
        <v>94</v>
      </c>
      <c r="CM181" s="384">
        <v>97</v>
      </c>
      <c r="CN181" s="384">
        <v>97</v>
      </c>
      <c r="CO181" s="384">
        <v>100</v>
      </c>
      <c r="CP181" s="384">
        <v>106</v>
      </c>
      <c r="CQ181" s="384">
        <v>109</v>
      </c>
      <c r="CR181" s="384">
        <v>115</v>
      </c>
      <c r="CS181" s="384">
        <v>118</v>
      </c>
      <c r="CT181" s="384">
        <v>122</v>
      </c>
      <c r="CU181" s="384">
        <v>128</v>
      </c>
      <c r="CV181" s="384">
        <v>132</v>
      </c>
      <c r="CW181" s="384">
        <v>135</v>
      </c>
      <c r="CX181" s="384">
        <v>135</v>
      </c>
      <c r="DI181" s="380">
        <v>55</v>
      </c>
      <c r="DJ181" s="384">
        <v>97</v>
      </c>
      <c r="DK181" s="384">
        <v>97</v>
      </c>
      <c r="DL181" s="384">
        <v>97</v>
      </c>
      <c r="DM181" s="384">
        <v>100</v>
      </c>
      <c r="DN181" s="384">
        <v>103</v>
      </c>
      <c r="DO181" s="384">
        <v>106</v>
      </c>
      <c r="DP181" s="384">
        <v>109</v>
      </c>
      <c r="DQ181" s="384">
        <v>112</v>
      </c>
      <c r="DR181" s="384">
        <v>122</v>
      </c>
      <c r="DS181" s="384">
        <v>125</v>
      </c>
      <c r="DT181" s="384">
        <v>132</v>
      </c>
      <c r="DU181" s="384">
        <v>135</v>
      </c>
      <c r="DV181" s="384">
        <v>138</v>
      </c>
      <c r="DW181" s="384">
        <v>142</v>
      </c>
      <c r="DX181" s="384">
        <v>142</v>
      </c>
      <c r="DY181" s="384">
        <v>146</v>
      </c>
      <c r="DZ181" s="384">
        <v>150</v>
      </c>
    </row>
    <row r="182" spans="1:130" x14ac:dyDescent="0.15">
      <c r="A182" s="390">
        <v>56</v>
      </c>
      <c r="B182" s="391">
        <v>79</v>
      </c>
      <c r="C182" s="391">
        <v>79</v>
      </c>
      <c r="D182" s="391">
        <v>79</v>
      </c>
      <c r="E182" s="391">
        <v>79</v>
      </c>
      <c r="F182" s="391">
        <v>79</v>
      </c>
      <c r="G182" s="391">
        <v>82</v>
      </c>
      <c r="H182" s="391">
        <v>85</v>
      </c>
      <c r="I182" s="391">
        <v>91</v>
      </c>
      <c r="J182" s="391">
        <v>94</v>
      </c>
      <c r="K182" s="391">
        <v>100</v>
      </c>
      <c r="L182" s="391">
        <v>103</v>
      </c>
      <c r="M182" s="391">
        <v>109</v>
      </c>
      <c r="N182" s="391">
        <v>112</v>
      </c>
      <c r="O182" s="391">
        <v>115</v>
      </c>
      <c r="P182" s="391">
        <v>118</v>
      </c>
      <c r="Q182" s="391">
        <v>122</v>
      </c>
      <c r="R182" s="391">
        <v>125</v>
      </c>
      <c r="AC182" s="380">
        <v>56</v>
      </c>
      <c r="AD182" s="384">
        <v>82</v>
      </c>
      <c r="AE182" s="384">
        <v>82</v>
      </c>
      <c r="AF182" s="384">
        <v>82</v>
      </c>
      <c r="AG182" s="384">
        <v>82</v>
      </c>
      <c r="AH182" s="384">
        <v>85</v>
      </c>
      <c r="AI182" s="384">
        <v>88</v>
      </c>
      <c r="AJ182" s="384">
        <v>91</v>
      </c>
      <c r="AK182" s="384">
        <v>94</v>
      </c>
      <c r="AL182" s="384">
        <v>97</v>
      </c>
      <c r="AM182" s="384">
        <v>103</v>
      </c>
      <c r="AN182" s="384">
        <v>109</v>
      </c>
      <c r="AO182" s="384">
        <v>112</v>
      </c>
      <c r="AP182" s="384">
        <v>115</v>
      </c>
      <c r="AQ182" s="384">
        <v>118</v>
      </c>
      <c r="AR182" s="384">
        <v>122</v>
      </c>
      <c r="AS182" s="384">
        <v>125</v>
      </c>
      <c r="AT182" s="384">
        <v>128</v>
      </c>
      <c r="BE182" s="380">
        <v>56</v>
      </c>
      <c r="BF182" s="384">
        <v>88</v>
      </c>
      <c r="BG182" s="384">
        <v>88</v>
      </c>
      <c r="BH182" s="384">
        <v>88</v>
      </c>
      <c r="BI182" s="384">
        <v>88</v>
      </c>
      <c r="BJ182" s="384">
        <v>91</v>
      </c>
      <c r="BK182" s="384">
        <v>94</v>
      </c>
      <c r="BL182" s="384">
        <v>97</v>
      </c>
      <c r="BM182" s="384">
        <v>100</v>
      </c>
      <c r="BN182" s="384">
        <v>106</v>
      </c>
      <c r="BO182" s="384">
        <v>109</v>
      </c>
      <c r="BP182" s="384">
        <v>115</v>
      </c>
      <c r="BQ182" s="384">
        <v>118</v>
      </c>
      <c r="BR182" s="384">
        <v>122</v>
      </c>
      <c r="BS182" s="384">
        <v>128</v>
      </c>
      <c r="BT182" s="384">
        <v>132</v>
      </c>
      <c r="BU182" s="384">
        <v>135</v>
      </c>
      <c r="BV182" s="384">
        <v>135</v>
      </c>
      <c r="CG182" s="380">
        <v>56</v>
      </c>
      <c r="CH182" s="384">
        <v>88</v>
      </c>
      <c r="CI182" s="384">
        <v>88</v>
      </c>
      <c r="CJ182" s="384">
        <v>88</v>
      </c>
      <c r="CK182" s="384">
        <v>91</v>
      </c>
      <c r="CL182" s="384">
        <v>94</v>
      </c>
      <c r="CM182" s="384">
        <v>97</v>
      </c>
      <c r="CN182" s="384">
        <v>97</v>
      </c>
      <c r="CO182" s="384">
        <v>100</v>
      </c>
      <c r="CP182" s="384">
        <v>106</v>
      </c>
      <c r="CQ182" s="384">
        <v>109</v>
      </c>
      <c r="CR182" s="384">
        <v>115</v>
      </c>
      <c r="CS182" s="384">
        <v>118</v>
      </c>
      <c r="CT182" s="384">
        <v>122</v>
      </c>
      <c r="CU182" s="384">
        <v>128</v>
      </c>
      <c r="CV182" s="384">
        <v>132</v>
      </c>
      <c r="CW182" s="384">
        <v>135</v>
      </c>
      <c r="CX182" s="384">
        <v>135</v>
      </c>
      <c r="DI182" s="380">
        <v>56</v>
      </c>
      <c r="DJ182" s="384">
        <v>97</v>
      </c>
      <c r="DK182" s="384">
        <v>97</v>
      </c>
      <c r="DL182" s="384">
        <v>97</v>
      </c>
      <c r="DM182" s="384">
        <v>100</v>
      </c>
      <c r="DN182" s="384">
        <v>103</v>
      </c>
      <c r="DO182" s="384">
        <v>106</v>
      </c>
      <c r="DP182" s="384">
        <v>109</v>
      </c>
      <c r="DQ182" s="384">
        <v>112</v>
      </c>
      <c r="DR182" s="384">
        <v>122</v>
      </c>
      <c r="DS182" s="384">
        <v>125</v>
      </c>
      <c r="DT182" s="384">
        <v>132</v>
      </c>
      <c r="DU182" s="384">
        <v>135</v>
      </c>
      <c r="DV182" s="384">
        <v>138</v>
      </c>
      <c r="DW182" s="384">
        <v>142</v>
      </c>
      <c r="DX182" s="384">
        <v>142</v>
      </c>
      <c r="DY182" s="384">
        <v>146</v>
      </c>
      <c r="DZ182" s="384">
        <v>150</v>
      </c>
    </row>
    <row r="183" spans="1:130" x14ac:dyDescent="0.15">
      <c r="A183" s="390">
        <v>57</v>
      </c>
      <c r="B183" s="391">
        <v>79</v>
      </c>
      <c r="C183" s="391">
        <v>79</v>
      </c>
      <c r="D183" s="391">
        <v>79</v>
      </c>
      <c r="E183" s="391">
        <v>79</v>
      </c>
      <c r="F183" s="391">
        <v>79</v>
      </c>
      <c r="G183" s="391">
        <v>82</v>
      </c>
      <c r="H183" s="391">
        <v>85</v>
      </c>
      <c r="I183" s="391">
        <v>91</v>
      </c>
      <c r="J183" s="391">
        <v>94</v>
      </c>
      <c r="K183" s="391">
        <v>100</v>
      </c>
      <c r="L183" s="391">
        <v>103</v>
      </c>
      <c r="M183" s="391">
        <v>109</v>
      </c>
      <c r="N183" s="391">
        <v>112</v>
      </c>
      <c r="O183" s="391">
        <v>115</v>
      </c>
      <c r="P183" s="391">
        <v>118</v>
      </c>
      <c r="Q183" s="391">
        <v>122</v>
      </c>
      <c r="R183" s="391">
        <v>125</v>
      </c>
      <c r="AC183" s="380">
        <v>57</v>
      </c>
      <c r="AD183" s="384">
        <v>85</v>
      </c>
      <c r="AE183" s="384">
        <v>85</v>
      </c>
      <c r="AF183" s="384">
        <v>85</v>
      </c>
      <c r="AG183" s="384">
        <v>85</v>
      </c>
      <c r="AH183" s="384">
        <v>88</v>
      </c>
      <c r="AI183" s="384">
        <v>91</v>
      </c>
      <c r="AJ183" s="384">
        <v>94</v>
      </c>
      <c r="AK183" s="384">
        <v>97</v>
      </c>
      <c r="AL183" s="384">
        <v>100</v>
      </c>
      <c r="AM183" s="384">
        <v>106</v>
      </c>
      <c r="AN183" s="384">
        <v>112</v>
      </c>
      <c r="AO183" s="384">
        <v>115</v>
      </c>
      <c r="AP183" s="384">
        <v>118</v>
      </c>
      <c r="AQ183" s="384">
        <v>122</v>
      </c>
      <c r="AR183" s="384">
        <v>125</v>
      </c>
      <c r="AS183" s="384">
        <v>128</v>
      </c>
      <c r="AT183" s="384">
        <v>132</v>
      </c>
      <c r="BE183" s="380">
        <v>57</v>
      </c>
      <c r="BF183" s="384">
        <v>88</v>
      </c>
      <c r="BG183" s="384">
        <v>88</v>
      </c>
      <c r="BH183" s="384">
        <v>88</v>
      </c>
      <c r="BI183" s="384">
        <v>88</v>
      </c>
      <c r="BJ183" s="384">
        <v>91</v>
      </c>
      <c r="BK183" s="384">
        <v>94</v>
      </c>
      <c r="BL183" s="384">
        <v>97</v>
      </c>
      <c r="BM183" s="384">
        <v>100</v>
      </c>
      <c r="BN183" s="384">
        <v>106</v>
      </c>
      <c r="BO183" s="384">
        <v>109</v>
      </c>
      <c r="BP183" s="384">
        <v>115</v>
      </c>
      <c r="BQ183" s="384">
        <v>118</v>
      </c>
      <c r="BR183" s="384">
        <v>122</v>
      </c>
      <c r="BS183" s="384">
        <v>128</v>
      </c>
      <c r="BT183" s="384">
        <v>132</v>
      </c>
      <c r="BU183" s="384">
        <v>135</v>
      </c>
      <c r="BV183" s="384">
        <v>135</v>
      </c>
      <c r="CG183" s="380">
        <v>57</v>
      </c>
      <c r="CH183" s="384">
        <v>91</v>
      </c>
      <c r="CI183" s="384">
        <v>91</v>
      </c>
      <c r="CJ183" s="384">
        <v>91</v>
      </c>
      <c r="CK183" s="384">
        <v>94</v>
      </c>
      <c r="CL183" s="384">
        <v>97</v>
      </c>
      <c r="CM183" s="384">
        <v>100</v>
      </c>
      <c r="CN183" s="384">
        <v>100</v>
      </c>
      <c r="CO183" s="384">
        <v>103</v>
      </c>
      <c r="CP183" s="384">
        <v>109</v>
      </c>
      <c r="CQ183" s="384">
        <v>112</v>
      </c>
      <c r="CR183" s="384">
        <v>118</v>
      </c>
      <c r="CS183" s="384">
        <v>122</v>
      </c>
      <c r="CT183" s="384">
        <v>125</v>
      </c>
      <c r="CU183" s="384">
        <v>132</v>
      </c>
      <c r="CV183" s="384">
        <v>135</v>
      </c>
      <c r="CW183" s="384">
        <v>138</v>
      </c>
      <c r="CX183" s="384">
        <v>138</v>
      </c>
      <c r="DI183" s="380">
        <v>57</v>
      </c>
      <c r="DJ183" s="384">
        <v>97</v>
      </c>
      <c r="DK183" s="384">
        <v>97</v>
      </c>
      <c r="DL183" s="384">
        <v>97</v>
      </c>
      <c r="DM183" s="384">
        <v>100</v>
      </c>
      <c r="DN183" s="384">
        <v>103</v>
      </c>
      <c r="DO183" s="384">
        <v>106</v>
      </c>
      <c r="DP183" s="384">
        <v>109</v>
      </c>
      <c r="DQ183" s="384">
        <v>112</v>
      </c>
      <c r="DR183" s="384">
        <v>122</v>
      </c>
      <c r="DS183" s="384">
        <v>125</v>
      </c>
      <c r="DT183" s="384">
        <v>132</v>
      </c>
      <c r="DU183" s="384">
        <v>135</v>
      </c>
      <c r="DV183" s="384">
        <v>138</v>
      </c>
      <c r="DW183" s="384">
        <v>142</v>
      </c>
      <c r="DX183" s="384">
        <v>142</v>
      </c>
      <c r="DY183" s="384">
        <v>146</v>
      </c>
      <c r="DZ183" s="384">
        <v>150</v>
      </c>
    </row>
    <row r="184" spans="1:130" x14ac:dyDescent="0.15">
      <c r="A184" s="390">
        <v>58</v>
      </c>
      <c r="B184" s="391">
        <v>82</v>
      </c>
      <c r="C184" s="391">
        <v>82</v>
      </c>
      <c r="D184" s="391">
        <v>82</v>
      </c>
      <c r="E184" s="391">
        <v>82</v>
      </c>
      <c r="F184" s="391">
        <v>82</v>
      </c>
      <c r="G184" s="391">
        <v>85</v>
      </c>
      <c r="H184" s="391">
        <v>88</v>
      </c>
      <c r="I184" s="391">
        <v>94</v>
      </c>
      <c r="J184" s="391">
        <v>97</v>
      </c>
      <c r="K184" s="391">
        <v>103</v>
      </c>
      <c r="L184" s="391">
        <v>106</v>
      </c>
      <c r="M184" s="391">
        <v>112</v>
      </c>
      <c r="N184" s="391">
        <v>115</v>
      </c>
      <c r="O184" s="391">
        <v>118</v>
      </c>
      <c r="P184" s="391">
        <v>122</v>
      </c>
      <c r="Q184" s="391">
        <v>125</v>
      </c>
      <c r="R184" s="391">
        <v>128</v>
      </c>
      <c r="AC184" s="380">
        <v>58</v>
      </c>
      <c r="AD184" s="384">
        <v>85</v>
      </c>
      <c r="AE184" s="384">
        <v>85</v>
      </c>
      <c r="AF184" s="384">
        <v>85</v>
      </c>
      <c r="AG184" s="384">
        <v>85</v>
      </c>
      <c r="AH184" s="384">
        <v>88</v>
      </c>
      <c r="AI184" s="384">
        <v>91</v>
      </c>
      <c r="AJ184" s="384">
        <v>94</v>
      </c>
      <c r="AK184" s="384">
        <v>97</v>
      </c>
      <c r="AL184" s="384">
        <v>100</v>
      </c>
      <c r="AM184" s="384">
        <v>106</v>
      </c>
      <c r="AN184" s="384">
        <v>112</v>
      </c>
      <c r="AO184" s="384">
        <v>115</v>
      </c>
      <c r="AP184" s="384">
        <v>118</v>
      </c>
      <c r="AQ184" s="384">
        <v>122</v>
      </c>
      <c r="AR184" s="384">
        <v>125</v>
      </c>
      <c r="AS184" s="384">
        <v>128</v>
      </c>
      <c r="AT184" s="384">
        <v>132</v>
      </c>
      <c r="BE184" s="380">
        <v>58</v>
      </c>
      <c r="BF184" s="384">
        <v>88</v>
      </c>
      <c r="BG184" s="384">
        <v>88</v>
      </c>
      <c r="BH184" s="384">
        <v>88</v>
      </c>
      <c r="BI184" s="384">
        <v>88</v>
      </c>
      <c r="BJ184" s="384">
        <v>91</v>
      </c>
      <c r="BK184" s="384">
        <v>94</v>
      </c>
      <c r="BL184" s="384">
        <v>97</v>
      </c>
      <c r="BM184" s="384">
        <v>100</v>
      </c>
      <c r="BN184" s="384">
        <v>106</v>
      </c>
      <c r="BO184" s="384">
        <v>109</v>
      </c>
      <c r="BP184" s="384">
        <v>115</v>
      </c>
      <c r="BQ184" s="384">
        <v>118</v>
      </c>
      <c r="BR184" s="384">
        <v>122</v>
      </c>
      <c r="BS184" s="384">
        <v>128</v>
      </c>
      <c r="BT184" s="384">
        <v>132</v>
      </c>
      <c r="BU184" s="384">
        <v>135</v>
      </c>
      <c r="BV184" s="384">
        <v>135</v>
      </c>
      <c r="CG184" s="380">
        <v>58</v>
      </c>
      <c r="CH184" s="384">
        <v>91</v>
      </c>
      <c r="CI184" s="384">
        <v>91</v>
      </c>
      <c r="CJ184" s="384">
        <v>91</v>
      </c>
      <c r="CK184" s="384">
        <v>94</v>
      </c>
      <c r="CL184" s="384">
        <v>97</v>
      </c>
      <c r="CM184" s="384">
        <v>100</v>
      </c>
      <c r="CN184" s="384">
        <v>100</v>
      </c>
      <c r="CO184" s="384">
        <v>103</v>
      </c>
      <c r="CP184" s="384">
        <v>109</v>
      </c>
      <c r="CQ184" s="384">
        <v>112</v>
      </c>
      <c r="CR184" s="384">
        <v>118</v>
      </c>
      <c r="CS184" s="384">
        <v>122</v>
      </c>
      <c r="CT184" s="384">
        <v>125</v>
      </c>
      <c r="CU184" s="384">
        <v>132</v>
      </c>
      <c r="CV184" s="384">
        <v>135</v>
      </c>
      <c r="CW184" s="384">
        <v>138</v>
      </c>
      <c r="CX184" s="384">
        <v>138</v>
      </c>
      <c r="DI184" s="380">
        <v>58</v>
      </c>
      <c r="DJ184" s="384">
        <v>100</v>
      </c>
      <c r="DK184" s="384">
        <v>100</v>
      </c>
      <c r="DL184" s="384">
        <v>100</v>
      </c>
      <c r="DM184" s="384">
        <v>103</v>
      </c>
      <c r="DN184" s="384">
        <v>106</v>
      </c>
      <c r="DO184" s="384">
        <v>109</v>
      </c>
      <c r="DP184" s="384">
        <v>112</v>
      </c>
      <c r="DQ184" s="384">
        <v>115</v>
      </c>
      <c r="DR184" s="384">
        <v>125</v>
      </c>
      <c r="DS184" s="384">
        <v>128</v>
      </c>
      <c r="DT184" s="384">
        <v>135</v>
      </c>
      <c r="DU184" s="384">
        <v>138</v>
      </c>
      <c r="DV184" s="384">
        <v>142</v>
      </c>
      <c r="DW184" s="384">
        <v>146</v>
      </c>
      <c r="DX184" s="384">
        <v>146</v>
      </c>
      <c r="DY184" s="384">
        <v>150</v>
      </c>
      <c r="DZ184" s="384">
        <v>154</v>
      </c>
    </row>
    <row r="185" spans="1:130" x14ac:dyDescent="0.15">
      <c r="A185" s="390">
        <v>59</v>
      </c>
      <c r="B185" s="391">
        <v>82</v>
      </c>
      <c r="C185" s="391">
        <v>82</v>
      </c>
      <c r="D185" s="391">
        <v>82</v>
      </c>
      <c r="E185" s="391">
        <v>82</v>
      </c>
      <c r="F185" s="391">
        <v>82</v>
      </c>
      <c r="G185" s="391">
        <v>85</v>
      </c>
      <c r="H185" s="391">
        <v>88</v>
      </c>
      <c r="I185" s="391">
        <v>94</v>
      </c>
      <c r="J185" s="391">
        <v>97</v>
      </c>
      <c r="K185" s="391">
        <v>103</v>
      </c>
      <c r="L185" s="391">
        <v>106</v>
      </c>
      <c r="M185" s="391">
        <v>112</v>
      </c>
      <c r="N185" s="391">
        <v>115</v>
      </c>
      <c r="O185" s="391">
        <v>118</v>
      </c>
      <c r="P185" s="391">
        <v>122</v>
      </c>
      <c r="Q185" s="391">
        <v>125</v>
      </c>
      <c r="R185" s="391">
        <v>128</v>
      </c>
      <c r="AC185" s="380">
        <v>59</v>
      </c>
      <c r="AD185" s="384">
        <v>85</v>
      </c>
      <c r="AE185" s="384">
        <v>85</v>
      </c>
      <c r="AF185" s="384">
        <v>85</v>
      </c>
      <c r="AG185" s="384">
        <v>85</v>
      </c>
      <c r="AH185" s="384">
        <v>88</v>
      </c>
      <c r="AI185" s="384">
        <v>91</v>
      </c>
      <c r="AJ185" s="384">
        <v>94</v>
      </c>
      <c r="AK185" s="384">
        <v>97</v>
      </c>
      <c r="AL185" s="384">
        <v>100</v>
      </c>
      <c r="AM185" s="384">
        <v>106</v>
      </c>
      <c r="AN185" s="384">
        <v>112</v>
      </c>
      <c r="AO185" s="384">
        <v>115</v>
      </c>
      <c r="AP185" s="384">
        <v>118</v>
      </c>
      <c r="AQ185" s="384">
        <v>122</v>
      </c>
      <c r="AR185" s="384">
        <v>125</v>
      </c>
      <c r="AS185" s="384">
        <v>128</v>
      </c>
      <c r="AT185" s="384">
        <v>132</v>
      </c>
      <c r="BE185" s="380">
        <v>59</v>
      </c>
      <c r="BF185" s="384">
        <v>91</v>
      </c>
      <c r="BG185" s="384">
        <v>91</v>
      </c>
      <c r="BH185" s="384">
        <v>91</v>
      </c>
      <c r="BI185" s="384">
        <v>91</v>
      </c>
      <c r="BJ185" s="384">
        <v>94</v>
      </c>
      <c r="BK185" s="384">
        <v>97</v>
      </c>
      <c r="BL185" s="384">
        <v>100</v>
      </c>
      <c r="BM185" s="384">
        <v>103</v>
      </c>
      <c r="BN185" s="384">
        <v>109</v>
      </c>
      <c r="BO185" s="384">
        <v>112</v>
      </c>
      <c r="BP185" s="384">
        <v>118</v>
      </c>
      <c r="BQ185" s="384">
        <v>122</v>
      </c>
      <c r="BR185" s="384">
        <v>125</v>
      </c>
      <c r="BS185" s="384">
        <v>132</v>
      </c>
      <c r="BT185" s="384">
        <v>135</v>
      </c>
      <c r="BU185" s="384">
        <v>138</v>
      </c>
      <c r="BV185" s="384">
        <v>138</v>
      </c>
      <c r="CG185" s="380">
        <v>59</v>
      </c>
      <c r="CH185" s="384">
        <v>91</v>
      </c>
      <c r="CI185" s="384">
        <v>91</v>
      </c>
      <c r="CJ185" s="384">
        <v>91</v>
      </c>
      <c r="CK185" s="384">
        <v>94</v>
      </c>
      <c r="CL185" s="384">
        <v>97</v>
      </c>
      <c r="CM185" s="384">
        <v>100</v>
      </c>
      <c r="CN185" s="384">
        <v>100</v>
      </c>
      <c r="CO185" s="384">
        <v>103</v>
      </c>
      <c r="CP185" s="384">
        <v>109</v>
      </c>
      <c r="CQ185" s="384">
        <v>112</v>
      </c>
      <c r="CR185" s="384">
        <v>118</v>
      </c>
      <c r="CS185" s="384">
        <v>122</v>
      </c>
      <c r="CT185" s="384">
        <v>125</v>
      </c>
      <c r="CU185" s="384">
        <v>132</v>
      </c>
      <c r="CV185" s="384">
        <v>135</v>
      </c>
      <c r="CW185" s="384">
        <v>138</v>
      </c>
      <c r="CX185" s="384">
        <v>138</v>
      </c>
      <c r="DI185" s="380">
        <v>59</v>
      </c>
      <c r="DJ185" s="384">
        <v>100</v>
      </c>
      <c r="DK185" s="384">
        <v>100</v>
      </c>
      <c r="DL185" s="384">
        <v>100</v>
      </c>
      <c r="DM185" s="384">
        <v>103</v>
      </c>
      <c r="DN185" s="384">
        <v>106</v>
      </c>
      <c r="DO185" s="384">
        <v>109</v>
      </c>
      <c r="DP185" s="384">
        <v>112</v>
      </c>
      <c r="DQ185" s="384">
        <v>115</v>
      </c>
      <c r="DR185" s="384">
        <v>125</v>
      </c>
      <c r="DS185" s="384">
        <v>128</v>
      </c>
      <c r="DT185" s="384">
        <v>135</v>
      </c>
      <c r="DU185" s="384">
        <v>138</v>
      </c>
      <c r="DV185" s="384">
        <v>142</v>
      </c>
      <c r="DW185" s="384">
        <v>146</v>
      </c>
      <c r="DX185" s="384">
        <v>146</v>
      </c>
      <c r="DY185" s="384">
        <v>150</v>
      </c>
      <c r="DZ185" s="384">
        <v>154</v>
      </c>
    </row>
    <row r="186" spans="1:130" x14ac:dyDescent="0.15">
      <c r="A186" s="390">
        <v>60</v>
      </c>
      <c r="B186" s="391">
        <v>82</v>
      </c>
      <c r="C186" s="391">
        <v>82</v>
      </c>
      <c r="D186" s="391">
        <v>82</v>
      </c>
      <c r="E186" s="391">
        <v>82</v>
      </c>
      <c r="F186" s="391">
        <v>82</v>
      </c>
      <c r="G186" s="391">
        <v>85</v>
      </c>
      <c r="H186" s="391">
        <v>88</v>
      </c>
      <c r="I186" s="391">
        <v>94</v>
      </c>
      <c r="J186" s="391">
        <v>97</v>
      </c>
      <c r="K186" s="391">
        <v>103</v>
      </c>
      <c r="L186" s="391">
        <v>106</v>
      </c>
      <c r="M186" s="391">
        <v>112</v>
      </c>
      <c r="N186" s="391">
        <v>115</v>
      </c>
      <c r="O186" s="391">
        <v>118</v>
      </c>
      <c r="P186" s="391">
        <v>122</v>
      </c>
      <c r="Q186" s="391">
        <v>125</v>
      </c>
      <c r="R186" s="391">
        <v>128</v>
      </c>
      <c r="AC186" s="380">
        <v>60</v>
      </c>
      <c r="AD186" s="384">
        <v>85</v>
      </c>
      <c r="AE186" s="384">
        <v>85</v>
      </c>
      <c r="AF186" s="384">
        <v>85</v>
      </c>
      <c r="AG186" s="384">
        <v>85</v>
      </c>
      <c r="AH186" s="384">
        <v>88</v>
      </c>
      <c r="AI186" s="384">
        <v>91</v>
      </c>
      <c r="AJ186" s="384">
        <v>94</v>
      </c>
      <c r="AK186" s="384">
        <v>97</v>
      </c>
      <c r="AL186" s="384">
        <v>100</v>
      </c>
      <c r="AM186" s="384">
        <v>106</v>
      </c>
      <c r="AN186" s="384">
        <v>112</v>
      </c>
      <c r="AO186" s="384">
        <v>115</v>
      </c>
      <c r="AP186" s="384">
        <v>118</v>
      </c>
      <c r="AQ186" s="384">
        <v>122</v>
      </c>
      <c r="AR186" s="384">
        <v>125</v>
      </c>
      <c r="AS186" s="384">
        <v>128</v>
      </c>
      <c r="AT186" s="384">
        <v>132</v>
      </c>
      <c r="BE186" s="380">
        <v>60</v>
      </c>
      <c r="BF186" s="384">
        <v>91</v>
      </c>
      <c r="BG186" s="384">
        <v>91</v>
      </c>
      <c r="BH186" s="384">
        <v>91</v>
      </c>
      <c r="BI186" s="384">
        <v>91</v>
      </c>
      <c r="BJ186" s="384">
        <v>94</v>
      </c>
      <c r="BK186" s="384">
        <v>97</v>
      </c>
      <c r="BL186" s="384">
        <v>100</v>
      </c>
      <c r="BM186" s="384">
        <v>103</v>
      </c>
      <c r="BN186" s="384">
        <v>109</v>
      </c>
      <c r="BO186" s="384">
        <v>112</v>
      </c>
      <c r="BP186" s="384">
        <v>118</v>
      </c>
      <c r="BQ186" s="384">
        <v>122</v>
      </c>
      <c r="BR186" s="384">
        <v>125</v>
      </c>
      <c r="BS186" s="384">
        <v>132</v>
      </c>
      <c r="BT186" s="384">
        <v>135</v>
      </c>
      <c r="BU186" s="384">
        <v>138</v>
      </c>
      <c r="BV186" s="384">
        <v>138</v>
      </c>
      <c r="CG186" s="380">
        <v>60</v>
      </c>
      <c r="CH186" s="384">
        <v>91</v>
      </c>
      <c r="CI186" s="384">
        <v>91</v>
      </c>
      <c r="CJ186" s="384">
        <v>91</v>
      </c>
      <c r="CK186" s="384">
        <v>94</v>
      </c>
      <c r="CL186" s="384">
        <v>97</v>
      </c>
      <c r="CM186" s="384">
        <v>100</v>
      </c>
      <c r="CN186" s="384">
        <v>100</v>
      </c>
      <c r="CO186" s="384">
        <v>103</v>
      </c>
      <c r="CP186" s="384">
        <v>109</v>
      </c>
      <c r="CQ186" s="384">
        <v>112</v>
      </c>
      <c r="CR186" s="384">
        <v>118</v>
      </c>
      <c r="CS186" s="384">
        <v>122</v>
      </c>
      <c r="CT186" s="384">
        <v>125</v>
      </c>
      <c r="CU186" s="384">
        <v>132</v>
      </c>
      <c r="CV186" s="384">
        <v>135</v>
      </c>
      <c r="CW186" s="384">
        <v>138</v>
      </c>
      <c r="CX186" s="384">
        <v>138</v>
      </c>
      <c r="DI186" s="380">
        <v>60</v>
      </c>
      <c r="DJ186" s="384">
        <v>100</v>
      </c>
      <c r="DK186" s="384">
        <v>100</v>
      </c>
      <c r="DL186" s="384">
        <v>100</v>
      </c>
      <c r="DM186" s="384">
        <v>103</v>
      </c>
      <c r="DN186" s="384">
        <v>106</v>
      </c>
      <c r="DO186" s="384">
        <v>109</v>
      </c>
      <c r="DP186" s="384">
        <v>112</v>
      </c>
      <c r="DQ186" s="384">
        <v>115</v>
      </c>
      <c r="DR186" s="384">
        <v>125</v>
      </c>
      <c r="DS186" s="384">
        <v>128</v>
      </c>
      <c r="DT186" s="384">
        <v>135</v>
      </c>
      <c r="DU186" s="384">
        <v>138</v>
      </c>
      <c r="DV186" s="384">
        <v>142</v>
      </c>
      <c r="DW186" s="384">
        <v>146</v>
      </c>
      <c r="DX186" s="384">
        <v>146</v>
      </c>
      <c r="DY186" s="384">
        <v>150</v>
      </c>
      <c r="DZ186" s="384">
        <v>154</v>
      </c>
    </row>
    <row r="187" spans="1:130" x14ac:dyDescent="0.15">
      <c r="A187" s="390">
        <v>61</v>
      </c>
      <c r="B187" s="391">
        <v>85</v>
      </c>
      <c r="C187" s="391">
        <v>85</v>
      </c>
      <c r="D187" s="391">
        <v>85</v>
      </c>
      <c r="E187" s="391">
        <v>85</v>
      </c>
      <c r="F187" s="391">
        <v>85</v>
      </c>
      <c r="G187" s="391">
        <v>88</v>
      </c>
      <c r="H187" s="391">
        <v>91</v>
      </c>
      <c r="I187" s="391">
        <v>97</v>
      </c>
      <c r="J187" s="391">
        <v>100</v>
      </c>
      <c r="K187" s="391">
        <v>106</v>
      </c>
      <c r="L187" s="391">
        <v>109</v>
      </c>
      <c r="M187" s="391">
        <v>115</v>
      </c>
      <c r="N187" s="391">
        <v>118</v>
      </c>
      <c r="O187" s="391">
        <v>122</v>
      </c>
      <c r="P187" s="391">
        <v>125</v>
      </c>
      <c r="Q187" s="391">
        <v>128</v>
      </c>
      <c r="R187" s="391">
        <v>132</v>
      </c>
      <c r="AC187" s="380">
        <v>61</v>
      </c>
      <c r="AD187" s="384">
        <v>88</v>
      </c>
      <c r="AE187" s="384">
        <v>88</v>
      </c>
      <c r="AF187" s="384">
        <v>88</v>
      </c>
      <c r="AG187" s="384">
        <v>88</v>
      </c>
      <c r="AH187" s="384">
        <v>91</v>
      </c>
      <c r="AI187" s="384">
        <v>94</v>
      </c>
      <c r="AJ187" s="384">
        <v>97</v>
      </c>
      <c r="AK187" s="384">
        <v>100</v>
      </c>
      <c r="AL187" s="384">
        <v>103</v>
      </c>
      <c r="AM187" s="384">
        <v>109</v>
      </c>
      <c r="AN187" s="384">
        <v>115</v>
      </c>
      <c r="AO187" s="384">
        <v>118</v>
      </c>
      <c r="AP187" s="384">
        <v>122</v>
      </c>
      <c r="AQ187" s="384">
        <v>125</v>
      </c>
      <c r="AR187" s="384">
        <v>128</v>
      </c>
      <c r="AS187" s="384">
        <v>132</v>
      </c>
      <c r="AT187" s="384">
        <v>135</v>
      </c>
      <c r="BE187" s="380">
        <v>61</v>
      </c>
      <c r="BF187" s="384">
        <v>94</v>
      </c>
      <c r="BG187" s="384">
        <v>94</v>
      </c>
      <c r="BH187" s="384">
        <v>94</v>
      </c>
      <c r="BI187" s="384">
        <v>94</v>
      </c>
      <c r="BJ187" s="384">
        <v>97</v>
      </c>
      <c r="BK187" s="384">
        <v>100</v>
      </c>
      <c r="BL187" s="384">
        <v>103</v>
      </c>
      <c r="BM187" s="384">
        <v>106</v>
      </c>
      <c r="BN187" s="384">
        <v>112</v>
      </c>
      <c r="BO187" s="384">
        <v>115</v>
      </c>
      <c r="BP187" s="384">
        <v>122</v>
      </c>
      <c r="BQ187" s="384">
        <v>125</v>
      </c>
      <c r="BR187" s="384">
        <v>128</v>
      </c>
      <c r="BS187" s="384">
        <v>135</v>
      </c>
      <c r="BT187" s="384">
        <v>138</v>
      </c>
      <c r="BU187" s="384">
        <v>142</v>
      </c>
      <c r="BV187" s="384">
        <v>142</v>
      </c>
      <c r="CG187" s="380">
        <v>61</v>
      </c>
      <c r="CH187" s="384">
        <v>94</v>
      </c>
      <c r="CI187" s="384">
        <v>94</v>
      </c>
      <c r="CJ187" s="384">
        <v>94</v>
      </c>
      <c r="CK187" s="384">
        <v>97</v>
      </c>
      <c r="CL187" s="384">
        <v>100</v>
      </c>
      <c r="CM187" s="384">
        <v>103</v>
      </c>
      <c r="CN187" s="384">
        <v>103</v>
      </c>
      <c r="CO187" s="384">
        <v>106</v>
      </c>
      <c r="CP187" s="384">
        <v>112</v>
      </c>
      <c r="CQ187" s="384">
        <v>115</v>
      </c>
      <c r="CR187" s="384">
        <v>122</v>
      </c>
      <c r="CS187" s="384">
        <v>125</v>
      </c>
      <c r="CT187" s="384">
        <v>128</v>
      </c>
      <c r="CU187" s="384">
        <v>135</v>
      </c>
      <c r="CV187" s="384">
        <v>138</v>
      </c>
      <c r="CW187" s="384">
        <v>142</v>
      </c>
      <c r="CX187" s="384">
        <v>142</v>
      </c>
      <c r="DI187" s="380">
        <v>61</v>
      </c>
      <c r="DJ187" s="384">
        <v>100</v>
      </c>
      <c r="DK187" s="384">
        <v>100</v>
      </c>
      <c r="DL187" s="384">
        <v>100</v>
      </c>
      <c r="DM187" s="384">
        <v>103</v>
      </c>
      <c r="DN187" s="384">
        <v>106</v>
      </c>
      <c r="DO187" s="384">
        <v>109</v>
      </c>
      <c r="DP187" s="384">
        <v>112</v>
      </c>
      <c r="DQ187" s="384">
        <v>115</v>
      </c>
      <c r="DR187" s="384">
        <v>125</v>
      </c>
      <c r="DS187" s="384">
        <v>128</v>
      </c>
      <c r="DT187" s="384">
        <v>135</v>
      </c>
      <c r="DU187" s="384">
        <v>138</v>
      </c>
      <c r="DV187" s="384">
        <v>142</v>
      </c>
      <c r="DW187" s="384">
        <v>146</v>
      </c>
      <c r="DX187" s="384">
        <v>146</v>
      </c>
      <c r="DY187" s="384">
        <v>150</v>
      </c>
      <c r="DZ187" s="384">
        <v>154</v>
      </c>
    </row>
    <row r="188" spans="1:130" x14ac:dyDescent="0.15">
      <c r="A188" s="390">
        <v>62</v>
      </c>
      <c r="B188" s="391">
        <v>85</v>
      </c>
      <c r="C188" s="391">
        <v>85</v>
      </c>
      <c r="D188" s="391">
        <v>85</v>
      </c>
      <c r="E188" s="391">
        <v>85</v>
      </c>
      <c r="F188" s="391">
        <v>85</v>
      </c>
      <c r="G188" s="391">
        <v>88</v>
      </c>
      <c r="H188" s="391">
        <v>91</v>
      </c>
      <c r="I188" s="391">
        <v>97</v>
      </c>
      <c r="J188" s="391">
        <v>100</v>
      </c>
      <c r="K188" s="391">
        <v>106</v>
      </c>
      <c r="L188" s="391">
        <v>109</v>
      </c>
      <c r="M188" s="391">
        <v>115</v>
      </c>
      <c r="N188" s="391">
        <v>118</v>
      </c>
      <c r="O188" s="391">
        <v>122</v>
      </c>
      <c r="P188" s="391">
        <v>125</v>
      </c>
      <c r="Q188" s="391">
        <v>128</v>
      </c>
      <c r="R188" s="391">
        <v>132</v>
      </c>
      <c r="AC188" s="380">
        <v>62</v>
      </c>
      <c r="AD188" s="384">
        <v>88</v>
      </c>
      <c r="AE188" s="384">
        <v>88</v>
      </c>
      <c r="AF188" s="384">
        <v>88</v>
      </c>
      <c r="AG188" s="384">
        <v>88</v>
      </c>
      <c r="AH188" s="384">
        <v>91</v>
      </c>
      <c r="AI188" s="384">
        <v>94</v>
      </c>
      <c r="AJ188" s="384">
        <v>97</v>
      </c>
      <c r="AK188" s="384">
        <v>100</v>
      </c>
      <c r="AL188" s="384">
        <v>103</v>
      </c>
      <c r="AM188" s="384">
        <v>109</v>
      </c>
      <c r="AN188" s="384">
        <v>115</v>
      </c>
      <c r="AO188" s="384">
        <v>118</v>
      </c>
      <c r="AP188" s="384">
        <v>122</v>
      </c>
      <c r="AQ188" s="384">
        <v>125</v>
      </c>
      <c r="AR188" s="384">
        <v>128</v>
      </c>
      <c r="AS188" s="384">
        <v>132</v>
      </c>
      <c r="AT188" s="384">
        <v>135</v>
      </c>
      <c r="BE188" s="380">
        <v>62</v>
      </c>
      <c r="BF188" s="384">
        <v>94</v>
      </c>
      <c r="BG188" s="384">
        <v>94</v>
      </c>
      <c r="BH188" s="384">
        <v>94</v>
      </c>
      <c r="BI188" s="384">
        <v>94</v>
      </c>
      <c r="BJ188" s="384">
        <v>97</v>
      </c>
      <c r="BK188" s="384">
        <v>100</v>
      </c>
      <c r="BL188" s="384">
        <v>103</v>
      </c>
      <c r="BM188" s="384">
        <v>106</v>
      </c>
      <c r="BN188" s="384">
        <v>112</v>
      </c>
      <c r="BO188" s="384">
        <v>115</v>
      </c>
      <c r="BP188" s="384">
        <v>122</v>
      </c>
      <c r="BQ188" s="384">
        <v>125</v>
      </c>
      <c r="BR188" s="384">
        <v>128</v>
      </c>
      <c r="BS188" s="384">
        <v>135</v>
      </c>
      <c r="BT188" s="384">
        <v>138</v>
      </c>
      <c r="BU188" s="384">
        <v>142</v>
      </c>
      <c r="BV188" s="384">
        <v>142</v>
      </c>
      <c r="CG188" s="380">
        <v>62</v>
      </c>
      <c r="CH188" s="384">
        <v>94</v>
      </c>
      <c r="CI188" s="384">
        <v>94</v>
      </c>
      <c r="CJ188" s="384">
        <v>94</v>
      </c>
      <c r="CK188" s="384">
        <v>97</v>
      </c>
      <c r="CL188" s="384">
        <v>100</v>
      </c>
      <c r="CM188" s="384">
        <v>103</v>
      </c>
      <c r="CN188" s="384">
        <v>103</v>
      </c>
      <c r="CO188" s="384">
        <v>106</v>
      </c>
      <c r="CP188" s="384">
        <v>112</v>
      </c>
      <c r="CQ188" s="384">
        <v>115</v>
      </c>
      <c r="CR188" s="384">
        <v>122</v>
      </c>
      <c r="CS188" s="384">
        <v>125</v>
      </c>
      <c r="CT188" s="384">
        <v>128</v>
      </c>
      <c r="CU188" s="384">
        <v>135</v>
      </c>
      <c r="CV188" s="384">
        <v>138</v>
      </c>
      <c r="CW188" s="384">
        <v>142</v>
      </c>
      <c r="CX188" s="384">
        <v>142</v>
      </c>
      <c r="DI188" s="380">
        <v>62</v>
      </c>
      <c r="DJ188" s="384">
        <v>100</v>
      </c>
      <c r="DK188" s="384">
        <v>100</v>
      </c>
      <c r="DL188" s="384">
        <v>100</v>
      </c>
      <c r="DM188" s="384">
        <v>103</v>
      </c>
      <c r="DN188" s="384">
        <v>106</v>
      </c>
      <c r="DO188" s="384">
        <v>109</v>
      </c>
      <c r="DP188" s="384">
        <v>112</v>
      </c>
      <c r="DQ188" s="384">
        <v>115</v>
      </c>
      <c r="DR188" s="384">
        <v>125</v>
      </c>
      <c r="DS188" s="384">
        <v>128</v>
      </c>
      <c r="DT188" s="384">
        <v>135</v>
      </c>
      <c r="DU188" s="384">
        <v>138</v>
      </c>
      <c r="DV188" s="384">
        <v>142</v>
      </c>
      <c r="DW188" s="384">
        <v>146</v>
      </c>
      <c r="DX188" s="384">
        <v>146</v>
      </c>
      <c r="DY188" s="384">
        <v>150</v>
      </c>
      <c r="DZ188" s="384">
        <v>154</v>
      </c>
    </row>
    <row r="189" spans="1:130" x14ac:dyDescent="0.15">
      <c r="A189" s="390">
        <v>63</v>
      </c>
      <c r="B189" s="391">
        <v>88</v>
      </c>
      <c r="C189" s="391">
        <v>88</v>
      </c>
      <c r="D189" s="391">
        <v>88</v>
      </c>
      <c r="E189" s="391">
        <v>88</v>
      </c>
      <c r="F189" s="391">
        <v>88</v>
      </c>
      <c r="G189" s="391">
        <v>91</v>
      </c>
      <c r="H189" s="391">
        <v>94</v>
      </c>
      <c r="I189" s="391">
        <v>100</v>
      </c>
      <c r="J189" s="391">
        <v>103</v>
      </c>
      <c r="K189" s="391">
        <v>109</v>
      </c>
      <c r="L189" s="391">
        <v>112</v>
      </c>
      <c r="M189" s="391">
        <v>118</v>
      </c>
      <c r="N189" s="391">
        <v>122</v>
      </c>
      <c r="O189" s="391">
        <v>125</v>
      </c>
      <c r="P189" s="391">
        <v>128</v>
      </c>
      <c r="Q189" s="391">
        <v>132</v>
      </c>
      <c r="R189" s="391">
        <v>135</v>
      </c>
      <c r="AC189" s="380">
        <v>63</v>
      </c>
      <c r="AD189" s="384">
        <v>91</v>
      </c>
      <c r="AE189" s="384">
        <v>91</v>
      </c>
      <c r="AF189" s="384">
        <v>91</v>
      </c>
      <c r="AG189" s="384">
        <v>91</v>
      </c>
      <c r="AH189" s="384">
        <v>94</v>
      </c>
      <c r="AI189" s="384">
        <v>97</v>
      </c>
      <c r="AJ189" s="384">
        <v>100</v>
      </c>
      <c r="AK189" s="384">
        <v>103</v>
      </c>
      <c r="AL189" s="384">
        <v>106</v>
      </c>
      <c r="AM189" s="384">
        <v>112</v>
      </c>
      <c r="AN189" s="384">
        <v>118</v>
      </c>
      <c r="AO189" s="384">
        <v>122</v>
      </c>
      <c r="AP189" s="384">
        <v>125</v>
      </c>
      <c r="AQ189" s="384">
        <v>128</v>
      </c>
      <c r="AR189" s="384">
        <v>132</v>
      </c>
      <c r="AS189" s="384">
        <v>135</v>
      </c>
      <c r="AT189" s="384">
        <v>138</v>
      </c>
      <c r="BE189" s="380">
        <v>63</v>
      </c>
      <c r="BF189" s="384">
        <v>94</v>
      </c>
      <c r="BG189" s="384">
        <v>94</v>
      </c>
      <c r="BH189" s="384">
        <v>94</v>
      </c>
      <c r="BI189" s="384">
        <v>94</v>
      </c>
      <c r="BJ189" s="384">
        <v>97</v>
      </c>
      <c r="BK189" s="384">
        <v>100</v>
      </c>
      <c r="BL189" s="384">
        <v>103</v>
      </c>
      <c r="BM189" s="384">
        <v>106</v>
      </c>
      <c r="BN189" s="384">
        <v>112</v>
      </c>
      <c r="BO189" s="384">
        <v>115</v>
      </c>
      <c r="BP189" s="384">
        <v>122</v>
      </c>
      <c r="BQ189" s="384">
        <v>125</v>
      </c>
      <c r="BR189" s="384">
        <v>128</v>
      </c>
      <c r="BS189" s="384">
        <v>135</v>
      </c>
      <c r="BT189" s="384">
        <v>138</v>
      </c>
      <c r="BU189" s="384">
        <v>142</v>
      </c>
      <c r="BV189" s="384">
        <v>142</v>
      </c>
      <c r="CG189" s="380">
        <v>63</v>
      </c>
      <c r="CH189" s="384">
        <v>94</v>
      </c>
      <c r="CI189" s="384">
        <v>94</v>
      </c>
      <c r="CJ189" s="384">
        <v>94</v>
      </c>
      <c r="CK189" s="384">
        <v>97</v>
      </c>
      <c r="CL189" s="384">
        <v>100</v>
      </c>
      <c r="CM189" s="384">
        <v>103</v>
      </c>
      <c r="CN189" s="384">
        <v>103</v>
      </c>
      <c r="CO189" s="384">
        <v>106</v>
      </c>
      <c r="CP189" s="384">
        <v>112</v>
      </c>
      <c r="CQ189" s="384">
        <v>115</v>
      </c>
      <c r="CR189" s="384">
        <v>122</v>
      </c>
      <c r="CS189" s="384">
        <v>125</v>
      </c>
      <c r="CT189" s="384">
        <v>128</v>
      </c>
      <c r="CU189" s="384">
        <v>135</v>
      </c>
      <c r="CV189" s="384">
        <v>138</v>
      </c>
      <c r="CW189" s="384">
        <v>142</v>
      </c>
      <c r="CX189" s="384">
        <v>142</v>
      </c>
      <c r="DI189" s="380">
        <v>63</v>
      </c>
      <c r="DJ189" s="384">
        <v>100</v>
      </c>
      <c r="DK189" s="384">
        <v>100</v>
      </c>
      <c r="DL189" s="384">
        <v>100</v>
      </c>
      <c r="DM189" s="384">
        <v>103</v>
      </c>
      <c r="DN189" s="384">
        <v>106</v>
      </c>
      <c r="DO189" s="384">
        <v>109</v>
      </c>
      <c r="DP189" s="384">
        <v>112</v>
      </c>
      <c r="DQ189" s="384">
        <v>115</v>
      </c>
      <c r="DR189" s="384">
        <v>125</v>
      </c>
      <c r="DS189" s="384">
        <v>128</v>
      </c>
      <c r="DT189" s="384">
        <v>135</v>
      </c>
      <c r="DU189" s="384">
        <v>138</v>
      </c>
      <c r="DV189" s="384">
        <v>142</v>
      </c>
      <c r="DW189" s="384">
        <v>146</v>
      </c>
      <c r="DX189" s="384">
        <v>146</v>
      </c>
      <c r="DY189" s="384">
        <v>150</v>
      </c>
      <c r="DZ189" s="384">
        <v>154</v>
      </c>
    </row>
    <row r="190" spans="1:130" x14ac:dyDescent="0.15">
      <c r="A190" s="390">
        <v>64</v>
      </c>
      <c r="B190" s="391">
        <v>88</v>
      </c>
      <c r="C190" s="391">
        <v>88</v>
      </c>
      <c r="D190" s="391">
        <v>88</v>
      </c>
      <c r="E190" s="391">
        <v>88</v>
      </c>
      <c r="F190" s="391">
        <v>88</v>
      </c>
      <c r="G190" s="391">
        <v>91</v>
      </c>
      <c r="H190" s="391">
        <v>94</v>
      </c>
      <c r="I190" s="391">
        <v>100</v>
      </c>
      <c r="J190" s="391">
        <v>103</v>
      </c>
      <c r="K190" s="391">
        <v>109</v>
      </c>
      <c r="L190" s="391">
        <v>112</v>
      </c>
      <c r="M190" s="391">
        <v>118</v>
      </c>
      <c r="N190" s="391">
        <v>122</v>
      </c>
      <c r="O190" s="391">
        <v>125</v>
      </c>
      <c r="P190" s="391">
        <v>128</v>
      </c>
      <c r="Q190" s="391">
        <v>132</v>
      </c>
      <c r="R190" s="391">
        <v>135</v>
      </c>
      <c r="AC190" s="380">
        <v>64</v>
      </c>
      <c r="AD190" s="384">
        <v>91</v>
      </c>
      <c r="AE190" s="384">
        <v>91</v>
      </c>
      <c r="AF190" s="384">
        <v>91</v>
      </c>
      <c r="AG190" s="384">
        <v>91</v>
      </c>
      <c r="AH190" s="384">
        <v>94</v>
      </c>
      <c r="AI190" s="384">
        <v>97</v>
      </c>
      <c r="AJ190" s="384">
        <v>100</v>
      </c>
      <c r="AK190" s="384">
        <v>103</v>
      </c>
      <c r="AL190" s="384">
        <v>106</v>
      </c>
      <c r="AM190" s="384">
        <v>112</v>
      </c>
      <c r="AN190" s="384">
        <v>118</v>
      </c>
      <c r="AO190" s="384">
        <v>122</v>
      </c>
      <c r="AP190" s="384">
        <v>125</v>
      </c>
      <c r="AQ190" s="384">
        <v>128</v>
      </c>
      <c r="AR190" s="384">
        <v>132</v>
      </c>
      <c r="AS190" s="384">
        <v>135</v>
      </c>
      <c r="AT190" s="384">
        <v>138</v>
      </c>
      <c r="BE190" s="380">
        <v>64</v>
      </c>
      <c r="BF190" s="384">
        <v>94</v>
      </c>
      <c r="BG190" s="384">
        <v>94</v>
      </c>
      <c r="BH190" s="384">
        <v>94</v>
      </c>
      <c r="BI190" s="384">
        <v>94</v>
      </c>
      <c r="BJ190" s="384">
        <v>97</v>
      </c>
      <c r="BK190" s="384">
        <v>100</v>
      </c>
      <c r="BL190" s="384">
        <v>103</v>
      </c>
      <c r="BM190" s="384">
        <v>106</v>
      </c>
      <c r="BN190" s="384">
        <v>112</v>
      </c>
      <c r="BO190" s="384">
        <v>115</v>
      </c>
      <c r="BP190" s="384">
        <v>122</v>
      </c>
      <c r="BQ190" s="384">
        <v>125</v>
      </c>
      <c r="BR190" s="384">
        <v>128</v>
      </c>
      <c r="BS190" s="384">
        <v>135</v>
      </c>
      <c r="BT190" s="384">
        <v>138</v>
      </c>
      <c r="BU190" s="384">
        <v>142</v>
      </c>
      <c r="BV190" s="384">
        <v>142</v>
      </c>
      <c r="CG190" s="380">
        <v>64</v>
      </c>
      <c r="CH190" s="384">
        <v>97</v>
      </c>
      <c r="CI190" s="384">
        <v>97</v>
      </c>
      <c r="CJ190" s="384">
        <v>97</v>
      </c>
      <c r="CK190" s="384">
        <v>100</v>
      </c>
      <c r="CL190" s="384">
        <v>103</v>
      </c>
      <c r="CM190" s="384">
        <v>106</v>
      </c>
      <c r="CN190" s="384">
        <v>106</v>
      </c>
      <c r="CO190" s="384">
        <v>109</v>
      </c>
      <c r="CP190" s="384">
        <v>115</v>
      </c>
      <c r="CQ190" s="384">
        <v>118</v>
      </c>
      <c r="CR190" s="384">
        <v>125</v>
      </c>
      <c r="CS190" s="384">
        <v>128</v>
      </c>
      <c r="CT190" s="384">
        <v>132</v>
      </c>
      <c r="CU190" s="384">
        <v>138</v>
      </c>
      <c r="CV190" s="384">
        <v>142</v>
      </c>
      <c r="CW190" s="384">
        <v>146</v>
      </c>
      <c r="CX190" s="384">
        <v>146</v>
      </c>
      <c r="DI190" s="380">
        <v>64</v>
      </c>
      <c r="DJ190" s="384">
        <v>100</v>
      </c>
      <c r="DK190" s="384">
        <v>100</v>
      </c>
      <c r="DL190" s="384">
        <v>100</v>
      </c>
      <c r="DM190" s="384">
        <v>103</v>
      </c>
      <c r="DN190" s="384">
        <v>106</v>
      </c>
      <c r="DO190" s="384">
        <v>109</v>
      </c>
      <c r="DP190" s="384">
        <v>112</v>
      </c>
      <c r="DQ190" s="384">
        <v>115</v>
      </c>
      <c r="DR190" s="384">
        <v>125</v>
      </c>
      <c r="DS190" s="384">
        <v>128</v>
      </c>
      <c r="DT190" s="384">
        <v>135</v>
      </c>
      <c r="DU190" s="384">
        <v>138</v>
      </c>
      <c r="DV190" s="384">
        <v>142</v>
      </c>
      <c r="DW190" s="384">
        <v>146</v>
      </c>
      <c r="DX190" s="384">
        <v>146</v>
      </c>
      <c r="DY190" s="384">
        <v>150</v>
      </c>
      <c r="DZ190" s="384">
        <v>154</v>
      </c>
    </row>
    <row r="191" spans="1:130" x14ac:dyDescent="0.15">
      <c r="A191" s="390">
        <v>65</v>
      </c>
      <c r="B191" s="391">
        <v>88</v>
      </c>
      <c r="C191" s="391">
        <v>88</v>
      </c>
      <c r="D191" s="391">
        <v>88</v>
      </c>
      <c r="E191" s="391">
        <v>88</v>
      </c>
      <c r="F191" s="391">
        <v>88</v>
      </c>
      <c r="G191" s="391">
        <v>91</v>
      </c>
      <c r="H191" s="391">
        <v>94</v>
      </c>
      <c r="I191" s="391">
        <v>100</v>
      </c>
      <c r="J191" s="391">
        <v>103</v>
      </c>
      <c r="K191" s="391">
        <v>109</v>
      </c>
      <c r="L191" s="391">
        <v>112</v>
      </c>
      <c r="M191" s="391">
        <v>118</v>
      </c>
      <c r="N191" s="391">
        <v>122</v>
      </c>
      <c r="O191" s="391">
        <v>125</v>
      </c>
      <c r="P191" s="391">
        <v>128</v>
      </c>
      <c r="Q191" s="391">
        <v>132</v>
      </c>
      <c r="R191" s="391">
        <v>135</v>
      </c>
      <c r="AC191" s="380">
        <v>65</v>
      </c>
      <c r="AD191" s="384">
        <v>94</v>
      </c>
      <c r="AE191" s="384">
        <v>94</v>
      </c>
      <c r="AF191" s="384">
        <v>94</v>
      </c>
      <c r="AG191" s="384">
        <v>94</v>
      </c>
      <c r="AH191" s="384">
        <v>97</v>
      </c>
      <c r="AI191" s="384">
        <v>100</v>
      </c>
      <c r="AJ191" s="384">
        <v>103</v>
      </c>
      <c r="AK191" s="384">
        <v>106</v>
      </c>
      <c r="AL191" s="384">
        <v>109</v>
      </c>
      <c r="AM191" s="384">
        <v>115</v>
      </c>
      <c r="AN191" s="384">
        <v>122</v>
      </c>
      <c r="AO191" s="384">
        <v>125</v>
      </c>
      <c r="AP191" s="384">
        <v>128</v>
      </c>
      <c r="AQ191" s="384">
        <v>132</v>
      </c>
      <c r="AR191" s="384">
        <v>135</v>
      </c>
      <c r="AS191" s="384">
        <v>138</v>
      </c>
      <c r="AT191" s="384">
        <v>142</v>
      </c>
      <c r="BE191" s="380">
        <v>65</v>
      </c>
      <c r="BF191" s="384">
        <v>97</v>
      </c>
      <c r="BG191" s="384">
        <v>97</v>
      </c>
      <c r="BH191" s="384">
        <v>97</v>
      </c>
      <c r="BI191" s="384">
        <v>97</v>
      </c>
      <c r="BJ191" s="384">
        <v>100</v>
      </c>
      <c r="BK191" s="384">
        <v>103</v>
      </c>
      <c r="BL191" s="384">
        <v>106</v>
      </c>
      <c r="BM191" s="384">
        <v>109</v>
      </c>
      <c r="BN191" s="384">
        <v>115</v>
      </c>
      <c r="BO191" s="384">
        <v>118</v>
      </c>
      <c r="BP191" s="384">
        <v>125</v>
      </c>
      <c r="BQ191" s="384">
        <v>128</v>
      </c>
      <c r="BR191" s="384">
        <v>132</v>
      </c>
      <c r="BS191" s="384">
        <v>138</v>
      </c>
      <c r="BT191" s="384">
        <v>142</v>
      </c>
      <c r="BU191" s="384">
        <v>146</v>
      </c>
      <c r="BV191" s="384">
        <v>146</v>
      </c>
      <c r="CG191" s="380">
        <v>65</v>
      </c>
      <c r="CH191" s="384">
        <v>97</v>
      </c>
      <c r="CI191" s="384">
        <v>97</v>
      </c>
      <c r="CJ191" s="384">
        <v>97</v>
      </c>
      <c r="CK191" s="384">
        <v>100</v>
      </c>
      <c r="CL191" s="384">
        <v>103</v>
      </c>
      <c r="CM191" s="384">
        <v>106</v>
      </c>
      <c r="CN191" s="384">
        <v>106</v>
      </c>
      <c r="CO191" s="384">
        <v>109</v>
      </c>
      <c r="CP191" s="384">
        <v>115</v>
      </c>
      <c r="CQ191" s="384">
        <v>118</v>
      </c>
      <c r="CR191" s="384">
        <v>125</v>
      </c>
      <c r="CS191" s="384">
        <v>128</v>
      </c>
      <c r="CT191" s="384">
        <v>132</v>
      </c>
      <c r="CU191" s="384">
        <v>138</v>
      </c>
      <c r="CV191" s="384">
        <v>142</v>
      </c>
      <c r="CW191" s="384">
        <v>146</v>
      </c>
      <c r="CX191" s="384">
        <v>146</v>
      </c>
      <c r="DI191" s="380">
        <v>65</v>
      </c>
      <c r="DJ191" s="384">
        <v>100</v>
      </c>
      <c r="DK191" s="384">
        <v>100</v>
      </c>
      <c r="DL191" s="384">
        <v>100</v>
      </c>
      <c r="DM191" s="395">
        <v>103</v>
      </c>
      <c r="DN191" s="384">
        <v>106</v>
      </c>
      <c r="DO191" s="384">
        <v>109</v>
      </c>
      <c r="DP191" s="384">
        <v>112</v>
      </c>
      <c r="DQ191" s="384">
        <v>115</v>
      </c>
      <c r="DR191" s="384">
        <v>125</v>
      </c>
      <c r="DS191" s="384">
        <v>128</v>
      </c>
      <c r="DT191" s="384">
        <v>135</v>
      </c>
      <c r="DU191" s="384">
        <v>138</v>
      </c>
      <c r="DV191" s="384">
        <v>142</v>
      </c>
      <c r="DW191" s="384">
        <v>146</v>
      </c>
      <c r="DX191" s="384">
        <v>146</v>
      </c>
      <c r="DY191" s="384">
        <v>150</v>
      </c>
      <c r="DZ191" s="384">
        <v>154</v>
      </c>
    </row>
    <row r="192" spans="1:130" x14ac:dyDescent="0.15">
      <c r="A192" s="390">
        <v>66</v>
      </c>
      <c r="B192" s="391">
        <v>91</v>
      </c>
      <c r="C192" s="391">
        <v>91</v>
      </c>
      <c r="D192" s="391">
        <v>91</v>
      </c>
      <c r="E192" s="391">
        <v>91</v>
      </c>
      <c r="F192" s="391">
        <v>91</v>
      </c>
      <c r="G192" s="391">
        <v>94</v>
      </c>
      <c r="H192" s="391">
        <v>97</v>
      </c>
      <c r="I192" s="391">
        <v>103</v>
      </c>
      <c r="J192" s="391">
        <v>106</v>
      </c>
      <c r="K192" s="391">
        <v>112</v>
      </c>
      <c r="L192" s="391">
        <v>115</v>
      </c>
      <c r="M192" s="391">
        <v>122</v>
      </c>
      <c r="N192" s="391">
        <v>125</v>
      </c>
      <c r="O192" s="391">
        <v>128</v>
      </c>
      <c r="P192" s="391">
        <v>132</v>
      </c>
      <c r="Q192" s="391">
        <v>135</v>
      </c>
      <c r="R192" s="391">
        <v>138</v>
      </c>
      <c r="AC192" s="380">
        <v>66</v>
      </c>
      <c r="AD192" s="384">
        <v>94</v>
      </c>
      <c r="AE192" s="384">
        <v>94</v>
      </c>
      <c r="AF192" s="384">
        <v>94</v>
      </c>
      <c r="AG192" s="384">
        <v>94</v>
      </c>
      <c r="AH192" s="384">
        <v>97</v>
      </c>
      <c r="AI192" s="384">
        <v>100</v>
      </c>
      <c r="AJ192" s="384">
        <v>103</v>
      </c>
      <c r="AK192" s="384">
        <v>106</v>
      </c>
      <c r="AL192" s="384">
        <v>109</v>
      </c>
      <c r="AM192" s="384">
        <v>115</v>
      </c>
      <c r="AN192" s="384">
        <v>122</v>
      </c>
      <c r="AO192" s="384">
        <v>125</v>
      </c>
      <c r="AP192" s="384">
        <v>128</v>
      </c>
      <c r="AQ192" s="384">
        <v>132</v>
      </c>
      <c r="AR192" s="384">
        <v>135</v>
      </c>
      <c r="AS192" s="384">
        <v>138</v>
      </c>
      <c r="AT192" s="384">
        <v>142</v>
      </c>
      <c r="BE192" s="380">
        <v>66</v>
      </c>
      <c r="BF192" s="384">
        <v>97</v>
      </c>
      <c r="BG192" s="384">
        <v>97</v>
      </c>
      <c r="BH192" s="384">
        <v>97</v>
      </c>
      <c r="BI192" s="384">
        <v>97</v>
      </c>
      <c r="BJ192" s="384">
        <v>100</v>
      </c>
      <c r="BK192" s="384">
        <v>103</v>
      </c>
      <c r="BL192" s="384">
        <v>106</v>
      </c>
      <c r="BM192" s="384">
        <v>109</v>
      </c>
      <c r="BN192" s="384">
        <v>115</v>
      </c>
      <c r="BO192" s="384">
        <v>118</v>
      </c>
      <c r="BP192" s="384">
        <v>125</v>
      </c>
      <c r="BQ192" s="384">
        <v>128</v>
      </c>
      <c r="BR192" s="384">
        <v>132</v>
      </c>
      <c r="BS192" s="384">
        <v>138</v>
      </c>
      <c r="BT192" s="384">
        <v>142</v>
      </c>
      <c r="BU192" s="384">
        <v>146</v>
      </c>
      <c r="BV192" s="384">
        <v>146</v>
      </c>
      <c r="CG192" s="380">
        <v>66</v>
      </c>
      <c r="CH192" s="384">
        <v>97</v>
      </c>
      <c r="CI192" s="384">
        <v>97</v>
      </c>
      <c r="CJ192" s="384">
        <v>97</v>
      </c>
      <c r="CK192" s="384">
        <v>100</v>
      </c>
      <c r="CL192" s="384">
        <v>103</v>
      </c>
      <c r="CM192" s="384">
        <v>106</v>
      </c>
      <c r="CN192" s="384">
        <v>106</v>
      </c>
      <c r="CO192" s="384">
        <v>109</v>
      </c>
      <c r="CP192" s="384">
        <v>115</v>
      </c>
      <c r="CQ192" s="384">
        <v>118</v>
      </c>
      <c r="CR192" s="384">
        <v>125</v>
      </c>
      <c r="CS192" s="384">
        <v>128</v>
      </c>
      <c r="CT192" s="384">
        <v>132</v>
      </c>
      <c r="CU192" s="384">
        <v>138</v>
      </c>
      <c r="CV192" s="384">
        <v>142</v>
      </c>
      <c r="CW192" s="384">
        <v>146</v>
      </c>
      <c r="CX192" s="384">
        <v>146</v>
      </c>
      <c r="DI192" s="380">
        <v>66</v>
      </c>
      <c r="DJ192" s="384">
        <v>100</v>
      </c>
      <c r="DK192" s="384">
        <v>100</v>
      </c>
      <c r="DL192" s="384">
        <v>100</v>
      </c>
      <c r="DM192" s="384">
        <v>103</v>
      </c>
      <c r="DN192" s="384">
        <v>106</v>
      </c>
      <c r="DO192" s="384">
        <v>109</v>
      </c>
      <c r="DP192" s="384">
        <v>112</v>
      </c>
      <c r="DQ192" s="384">
        <v>115</v>
      </c>
      <c r="DR192" s="384">
        <v>125</v>
      </c>
      <c r="DS192" s="384">
        <v>128</v>
      </c>
      <c r="DT192" s="384">
        <v>135</v>
      </c>
      <c r="DU192" s="384">
        <v>138</v>
      </c>
      <c r="DV192" s="384">
        <v>142</v>
      </c>
      <c r="DW192" s="384">
        <v>146</v>
      </c>
      <c r="DX192" s="384">
        <v>146</v>
      </c>
      <c r="DY192" s="384">
        <v>150</v>
      </c>
      <c r="DZ192" s="384">
        <v>154</v>
      </c>
    </row>
    <row r="193" spans="1:130" x14ac:dyDescent="0.15">
      <c r="A193" s="390">
        <v>67</v>
      </c>
      <c r="B193" s="391">
        <v>91</v>
      </c>
      <c r="C193" s="391">
        <v>91</v>
      </c>
      <c r="D193" s="391">
        <v>91</v>
      </c>
      <c r="E193" s="391">
        <v>91</v>
      </c>
      <c r="F193" s="391">
        <v>91</v>
      </c>
      <c r="G193" s="391">
        <v>94</v>
      </c>
      <c r="H193" s="391">
        <v>97</v>
      </c>
      <c r="I193" s="391">
        <v>103</v>
      </c>
      <c r="J193" s="391">
        <v>106</v>
      </c>
      <c r="K193" s="391">
        <v>112</v>
      </c>
      <c r="L193" s="391">
        <v>115</v>
      </c>
      <c r="M193" s="391">
        <v>122</v>
      </c>
      <c r="N193" s="391">
        <v>125</v>
      </c>
      <c r="O193" s="391">
        <v>128</v>
      </c>
      <c r="P193" s="391">
        <v>132</v>
      </c>
      <c r="Q193" s="391">
        <v>135</v>
      </c>
      <c r="R193" s="391">
        <v>138</v>
      </c>
      <c r="AC193" s="380">
        <v>67</v>
      </c>
      <c r="AD193" s="384">
        <v>94</v>
      </c>
      <c r="AE193" s="384">
        <v>94</v>
      </c>
      <c r="AF193" s="384">
        <v>94</v>
      </c>
      <c r="AG193" s="384">
        <v>94</v>
      </c>
      <c r="AH193" s="384">
        <v>97</v>
      </c>
      <c r="AI193" s="384">
        <v>100</v>
      </c>
      <c r="AJ193" s="384">
        <v>103</v>
      </c>
      <c r="AK193" s="384">
        <v>106</v>
      </c>
      <c r="AL193" s="384">
        <v>109</v>
      </c>
      <c r="AM193" s="384">
        <v>115</v>
      </c>
      <c r="AN193" s="384">
        <v>122</v>
      </c>
      <c r="AO193" s="384">
        <v>125</v>
      </c>
      <c r="AP193" s="384">
        <v>128</v>
      </c>
      <c r="AQ193" s="384">
        <v>132</v>
      </c>
      <c r="AR193" s="384">
        <v>135</v>
      </c>
      <c r="AS193" s="384">
        <v>138</v>
      </c>
      <c r="AT193" s="384">
        <v>142</v>
      </c>
      <c r="BE193" s="380">
        <v>67</v>
      </c>
      <c r="BF193" s="384">
        <v>97</v>
      </c>
      <c r="BG193" s="384">
        <v>97</v>
      </c>
      <c r="BH193" s="384">
        <v>97</v>
      </c>
      <c r="BI193" s="384">
        <v>97</v>
      </c>
      <c r="BJ193" s="384">
        <v>100</v>
      </c>
      <c r="BK193" s="384">
        <v>103</v>
      </c>
      <c r="BL193" s="384">
        <v>106</v>
      </c>
      <c r="BM193" s="384">
        <v>109</v>
      </c>
      <c r="BN193" s="384">
        <v>115</v>
      </c>
      <c r="BO193" s="384">
        <v>118</v>
      </c>
      <c r="BP193" s="384">
        <v>125</v>
      </c>
      <c r="BQ193" s="384">
        <v>128</v>
      </c>
      <c r="BR193" s="384">
        <v>132</v>
      </c>
      <c r="BS193" s="384">
        <v>138</v>
      </c>
      <c r="BT193" s="384">
        <v>142</v>
      </c>
      <c r="BU193" s="384">
        <v>146</v>
      </c>
      <c r="BV193" s="384">
        <v>146</v>
      </c>
      <c r="CG193" s="380">
        <v>67</v>
      </c>
      <c r="CH193" s="384">
        <v>100</v>
      </c>
      <c r="CI193" s="384">
        <v>100</v>
      </c>
      <c r="CJ193" s="384">
        <v>100</v>
      </c>
      <c r="CK193" s="384">
        <v>103</v>
      </c>
      <c r="CL193" s="384">
        <v>106</v>
      </c>
      <c r="CM193" s="384">
        <v>109</v>
      </c>
      <c r="CN193" s="384">
        <v>109</v>
      </c>
      <c r="CO193" s="384">
        <v>112</v>
      </c>
      <c r="CP193" s="384">
        <v>118</v>
      </c>
      <c r="CQ193" s="384">
        <v>122</v>
      </c>
      <c r="CR193" s="384">
        <v>128</v>
      </c>
      <c r="CS193" s="384">
        <v>132</v>
      </c>
      <c r="CT193" s="384">
        <v>135</v>
      </c>
      <c r="CU193" s="384">
        <v>142</v>
      </c>
      <c r="CV193" s="384">
        <v>146</v>
      </c>
      <c r="CW193" s="384">
        <v>150</v>
      </c>
      <c r="CX193" s="384">
        <v>150</v>
      </c>
      <c r="DI193" s="380">
        <v>67</v>
      </c>
      <c r="DJ193" s="384">
        <v>100</v>
      </c>
      <c r="DK193" s="384">
        <v>100</v>
      </c>
      <c r="DL193" s="384">
        <v>100</v>
      </c>
      <c r="DM193" s="384">
        <v>103</v>
      </c>
      <c r="DN193" s="384">
        <v>106</v>
      </c>
      <c r="DO193" s="384">
        <v>109</v>
      </c>
      <c r="DP193" s="384">
        <v>112</v>
      </c>
      <c r="DQ193" s="384">
        <v>115</v>
      </c>
      <c r="DR193" s="384">
        <v>125</v>
      </c>
      <c r="DS193" s="384">
        <v>128</v>
      </c>
      <c r="DT193" s="384">
        <v>135</v>
      </c>
      <c r="DU193" s="384">
        <v>138</v>
      </c>
      <c r="DV193" s="384">
        <v>142</v>
      </c>
      <c r="DW193" s="384">
        <v>146</v>
      </c>
      <c r="DX193" s="384">
        <v>146</v>
      </c>
      <c r="DY193" s="384">
        <v>150</v>
      </c>
      <c r="DZ193" s="384">
        <v>154</v>
      </c>
    </row>
    <row r="194" spans="1:130" x14ac:dyDescent="0.15">
      <c r="A194" s="390">
        <v>68</v>
      </c>
      <c r="B194" s="391">
        <v>91</v>
      </c>
      <c r="C194" s="391">
        <v>91</v>
      </c>
      <c r="D194" s="391">
        <v>91</v>
      </c>
      <c r="E194" s="391">
        <v>91</v>
      </c>
      <c r="F194" s="391">
        <v>91</v>
      </c>
      <c r="G194" s="391">
        <v>94</v>
      </c>
      <c r="H194" s="391">
        <v>97</v>
      </c>
      <c r="I194" s="391">
        <v>103</v>
      </c>
      <c r="J194" s="391">
        <v>106</v>
      </c>
      <c r="K194" s="391">
        <v>112</v>
      </c>
      <c r="L194" s="391">
        <v>115</v>
      </c>
      <c r="M194" s="391">
        <v>122</v>
      </c>
      <c r="N194" s="391">
        <v>125</v>
      </c>
      <c r="O194" s="391">
        <v>128</v>
      </c>
      <c r="P194" s="391">
        <v>132</v>
      </c>
      <c r="Q194" s="391">
        <v>135</v>
      </c>
      <c r="R194" s="391">
        <v>138</v>
      </c>
      <c r="AC194" s="380">
        <v>68</v>
      </c>
      <c r="AD194" s="384">
        <v>97</v>
      </c>
      <c r="AE194" s="384">
        <v>97</v>
      </c>
      <c r="AF194" s="384">
        <v>97</v>
      </c>
      <c r="AG194" s="384">
        <v>97</v>
      </c>
      <c r="AH194" s="384">
        <v>100</v>
      </c>
      <c r="AI194" s="384">
        <v>103</v>
      </c>
      <c r="AJ194" s="384">
        <v>106</v>
      </c>
      <c r="AK194" s="384">
        <v>109</v>
      </c>
      <c r="AL194" s="384">
        <v>112</v>
      </c>
      <c r="AM194" s="384">
        <v>118</v>
      </c>
      <c r="AN194" s="384">
        <v>125</v>
      </c>
      <c r="AO194" s="384">
        <v>128</v>
      </c>
      <c r="AP194" s="384">
        <v>132</v>
      </c>
      <c r="AQ194" s="384">
        <v>135</v>
      </c>
      <c r="AR194" s="384">
        <v>138</v>
      </c>
      <c r="AS194" s="384">
        <v>142</v>
      </c>
      <c r="AT194" s="384">
        <v>146</v>
      </c>
      <c r="BE194" s="380">
        <v>68</v>
      </c>
      <c r="BF194" s="384">
        <v>97</v>
      </c>
      <c r="BG194" s="384">
        <v>97</v>
      </c>
      <c r="BH194" s="384">
        <v>97</v>
      </c>
      <c r="BI194" s="384">
        <v>97</v>
      </c>
      <c r="BJ194" s="384">
        <v>100</v>
      </c>
      <c r="BK194" s="384">
        <v>103</v>
      </c>
      <c r="BL194" s="384">
        <v>106</v>
      </c>
      <c r="BM194" s="384">
        <v>109</v>
      </c>
      <c r="BN194" s="384">
        <v>115</v>
      </c>
      <c r="BO194" s="384">
        <v>118</v>
      </c>
      <c r="BP194" s="384">
        <v>125</v>
      </c>
      <c r="BQ194" s="384">
        <v>128</v>
      </c>
      <c r="BR194" s="384">
        <v>132</v>
      </c>
      <c r="BS194" s="384">
        <v>138</v>
      </c>
      <c r="BT194" s="384">
        <v>142</v>
      </c>
      <c r="BU194" s="384">
        <v>146</v>
      </c>
      <c r="BV194" s="384">
        <v>146</v>
      </c>
      <c r="CG194" s="380">
        <v>68</v>
      </c>
      <c r="CH194" s="384">
        <v>100</v>
      </c>
      <c r="CI194" s="384">
        <v>100</v>
      </c>
      <c r="CJ194" s="384">
        <v>100</v>
      </c>
      <c r="CK194" s="384">
        <v>103</v>
      </c>
      <c r="CL194" s="384">
        <v>106</v>
      </c>
      <c r="CM194" s="384">
        <v>109</v>
      </c>
      <c r="CN194" s="384">
        <v>109</v>
      </c>
      <c r="CO194" s="384">
        <v>112</v>
      </c>
      <c r="CP194" s="384">
        <v>118</v>
      </c>
      <c r="CQ194" s="384">
        <v>122</v>
      </c>
      <c r="CR194" s="384">
        <v>128</v>
      </c>
      <c r="CS194" s="384">
        <v>132</v>
      </c>
      <c r="CT194" s="384">
        <v>135</v>
      </c>
      <c r="CU194" s="384">
        <v>142</v>
      </c>
      <c r="CV194" s="384">
        <v>146</v>
      </c>
      <c r="CW194" s="384">
        <v>150</v>
      </c>
      <c r="CX194" s="384">
        <v>150</v>
      </c>
      <c r="DI194" s="380">
        <v>68</v>
      </c>
      <c r="DJ194" s="384">
        <v>100</v>
      </c>
      <c r="DK194" s="384">
        <v>100</v>
      </c>
      <c r="DL194" s="384">
        <v>100</v>
      </c>
      <c r="DM194" s="384">
        <v>103</v>
      </c>
      <c r="DN194" s="384">
        <v>106</v>
      </c>
      <c r="DO194" s="384">
        <v>109</v>
      </c>
      <c r="DP194" s="384">
        <v>112</v>
      </c>
      <c r="DQ194" s="384">
        <v>115</v>
      </c>
      <c r="DR194" s="384">
        <v>125</v>
      </c>
      <c r="DS194" s="384">
        <v>128</v>
      </c>
      <c r="DT194" s="384">
        <v>135</v>
      </c>
      <c r="DU194" s="384">
        <v>138</v>
      </c>
      <c r="DV194" s="384">
        <v>142</v>
      </c>
      <c r="DW194" s="384">
        <v>146</v>
      </c>
      <c r="DX194" s="384">
        <v>146</v>
      </c>
      <c r="DY194" s="384">
        <v>150</v>
      </c>
      <c r="DZ194" s="384">
        <v>154</v>
      </c>
    </row>
    <row r="195" spans="1:130" x14ac:dyDescent="0.15">
      <c r="A195" s="390">
        <v>69</v>
      </c>
      <c r="B195" s="391">
        <v>94</v>
      </c>
      <c r="C195" s="391">
        <v>94</v>
      </c>
      <c r="D195" s="391">
        <v>94</v>
      </c>
      <c r="E195" s="391">
        <v>94</v>
      </c>
      <c r="F195" s="391">
        <v>94</v>
      </c>
      <c r="G195" s="391">
        <v>97</v>
      </c>
      <c r="H195" s="391">
        <v>100</v>
      </c>
      <c r="I195" s="391">
        <v>106</v>
      </c>
      <c r="J195" s="391">
        <v>109</v>
      </c>
      <c r="K195" s="391">
        <v>115</v>
      </c>
      <c r="L195" s="391">
        <v>118</v>
      </c>
      <c r="M195" s="391">
        <v>125</v>
      </c>
      <c r="N195" s="391">
        <v>128</v>
      </c>
      <c r="O195" s="391">
        <v>132</v>
      </c>
      <c r="P195" s="391">
        <v>135</v>
      </c>
      <c r="Q195" s="391">
        <v>138</v>
      </c>
      <c r="R195" s="391">
        <v>142</v>
      </c>
      <c r="AC195" s="380">
        <v>69</v>
      </c>
      <c r="AD195" s="384">
        <v>97</v>
      </c>
      <c r="AE195" s="384">
        <v>97</v>
      </c>
      <c r="AF195" s="384">
        <v>97</v>
      </c>
      <c r="AG195" s="384">
        <v>97</v>
      </c>
      <c r="AH195" s="384">
        <v>100</v>
      </c>
      <c r="AI195" s="384">
        <v>103</v>
      </c>
      <c r="AJ195" s="384">
        <v>106</v>
      </c>
      <c r="AK195" s="384">
        <v>109</v>
      </c>
      <c r="AL195" s="384">
        <v>112</v>
      </c>
      <c r="AM195" s="384">
        <v>118</v>
      </c>
      <c r="AN195" s="384">
        <v>125</v>
      </c>
      <c r="AO195" s="384">
        <v>128</v>
      </c>
      <c r="AP195" s="384">
        <v>132</v>
      </c>
      <c r="AQ195" s="384">
        <v>135</v>
      </c>
      <c r="AR195" s="384">
        <v>138</v>
      </c>
      <c r="AS195" s="384">
        <v>142</v>
      </c>
      <c r="AT195" s="384">
        <v>146</v>
      </c>
      <c r="BE195" s="380">
        <v>69</v>
      </c>
      <c r="BF195" s="384">
        <v>100</v>
      </c>
      <c r="BG195" s="384">
        <v>100</v>
      </c>
      <c r="BH195" s="384">
        <v>100</v>
      </c>
      <c r="BI195" s="384">
        <v>100</v>
      </c>
      <c r="BJ195" s="384">
        <v>103</v>
      </c>
      <c r="BK195" s="384">
        <v>106</v>
      </c>
      <c r="BL195" s="384">
        <v>109</v>
      </c>
      <c r="BM195" s="384">
        <v>112</v>
      </c>
      <c r="BN195" s="384">
        <v>118</v>
      </c>
      <c r="BO195" s="384">
        <v>122</v>
      </c>
      <c r="BP195" s="384">
        <v>128</v>
      </c>
      <c r="BQ195" s="384">
        <v>132</v>
      </c>
      <c r="BR195" s="384">
        <v>135</v>
      </c>
      <c r="BS195" s="384">
        <v>142</v>
      </c>
      <c r="BT195" s="384">
        <v>146</v>
      </c>
      <c r="BU195" s="384">
        <v>150</v>
      </c>
      <c r="BV195" s="384">
        <v>150</v>
      </c>
      <c r="CG195" s="380">
        <v>69</v>
      </c>
      <c r="CH195" s="384">
        <v>100</v>
      </c>
      <c r="CI195" s="384">
        <v>100</v>
      </c>
      <c r="CJ195" s="384">
        <v>100</v>
      </c>
      <c r="CK195" s="384">
        <v>103</v>
      </c>
      <c r="CL195" s="384">
        <v>106</v>
      </c>
      <c r="CM195" s="384">
        <v>109</v>
      </c>
      <c r="CN195" s="384">
        <v>109</v>
      </c>
      <c r="CO195" s="384">
        <v>112</v>
      </c>
      <c r="CP195" s="384">
        <v>118</v>
      </c>
      <c r="CQ195" s="384">
        <v>122</v>
      </c>
      <c r="CR195" s="384">
        <v>128</v>
      </c>
      <c r="CS195" s="384">
        <v>132</v>
      </c>
      <c r="CT195" s="384">
        <v>135</v>
      </c>
      <c r="CU195" s="384">
        <v>142</v>
      </c>
      <c r="CV195" s="384">
        <v>146</v>
      </c>
      <c r="CW195" s="384">
        <v>150</v>
      </c>
      <c r="CX195" s="384">
        <v>150</v>
      </c>
      <c r="DI195" s="380">
        <v>69</v>
      </c>
      <c r="DJ195" s="384">
        <v>100</v>
      </c>
      <c r="DK195" s="384">
        <v>100</v>
      </c>
      <c r="DL195" s="384">
        <v>100</v>
      </c>
      <c r="DM195" s="384">
        <v>103</v>
      </c>
      <c r="DN195" s="384">
        <v>106</v>
      </c>
      <c r="DO195" s="384">
        <v>109</v>
      </c>
      <c r="DP195" s="384">
        <v>112</v>
      </c>
      <c r="DQ195" s="384">
        <v>115</v>
      </c>
      <c r="DR195" s="384">
        <v>125</v>
      </c>
      <c r="DS195" s="384">
        <v>128</v>
      </c>
      <c r="DT195" s="384">
        <v>135</v>
      </c>
      <c r="DU195" s="384">
        <v>138</v>
      </c>
      <c r="DV195" s="384">
        <v>142</v>
      </c>
      <c r="DW195" s="384">
        <v>146</v>
      </c>
      <c r="DX195" s="384">
        <v>146</v>
      </c>
      <c r="DY195" s="384">
        <v>150</v>
      </c>
      <c r="DZ195" s="384">
        <v>154</v>
      </c>
    </row>
    <row r="196" spans="1:130" x14ac:dyDescent="0.15">
      <c r="A196" s="390">
        <v>70</v>
      </c>
      <c r="B196" s="391">
        <v>94</v>
      </c>
      <c r="C196" s="391">
        <v>94</v>
      </c>
      <c r="D196" s="391">
        <v>94</v>
      </c>
      <c r="E196" s="391">
        <v>94</v>
      </c>
      <c r="F196" s="391">
        <v>94</v>
      </c>
      <c r="G196" s="391">
        <v>97</v>
      </c>
      <c r="H196" s="391">
        <v>100</v>
      </c>
      <c r="I196" s="391">
        <v>106</v>
      </c>
      <c r="J196" s="391">
        <v>109</v>
      </c>
      <c r="K196" s="391">
        <v>115</v>
      </c>
      <c r="L196" s="391">
        <v>118</v>
      </c>
      <c r="M196" s="391">
        <v>125</v>
      </c>
      <c r="N196" s="391">
        <v>128</v>
      </c>
      <c r="O196" s="391">
        <v>132</v>
      </c>
      <c r="P196" s="391">
        <v>135</v>
      </c>
      <c r="Q196" s="391">
        <v>138</v>
      </c>
      <c r="R196" s="391">
        <v>142</v>
      </c>
      <c r="AC196" s="380">
        <v>70</v>
      </c>
      <c r="AD196" s="384">
        <v>97</v>
      </c>
      <c r="AE196" s="384">
        <v>97</v>
      </c>
      <c r="AF196" s="384">
        <v>97</v>
      </c>
      <c r="AG196" s="384">
        <v>97</v>
      </c>
      <c r="AH196" s="384">
        <v>100</v>
      </c>
      <c r="AI196" s="384">
        <v>103</v>
      </c>
      <c r="AJ196" s="384">
        <v>106</v>
      </c>
      <c r="AK196" s="384">
        <v>109</v>
      </c>
      <c r="AL196" s="384">
        <v>112</v>
      </c>
      <c r="AM196" s="384">
        <v>118</v>
      </c>
      <c r="AN196" s="384">
        <v>125</v>
      </c>
      <c r="AO196" s="384">
        <v>128</v>
      </c>
      <c r="AP196" s="384">
        <v>132</v>
      </c>
      <c r="AQ196" s="384">
        <v>135</v>
      </c>
      <c r="AR196" s="384">
        <v>138</v>
      </c>
      <c r="AS196" s="384">
        <v>142</v>
      </c>
      <c r="AT196" s="384">
        <v>146</v>
      </c>
      <c r="BE196" s="380">
        <v>70</v>
      </c>
      <c r="BF196" s="384">
        <v>100</v>
      </c>
      <c r="BG196" s="384">
        <v>100</v>
      </c>
      <c r="BH196" s="384">
        <v>100</v>
      </c>
      <c r="BI196" s="384">
        <v>100</v>
      </c>
      <c r="BJ196" s="384">
        <v>103</v>
      </c>
      <c r="BK196" s="384">
        <v>106</v>
      </c>
      <c r="BL196" s="384">
        <v>109</v>
      </c>
      <c r="BM196" s="384">
        <v>112</v>
      </c>
      <c r="BN196" s="384">
        <v>118</v>
      </c>
      <c r="BO196" s="384">
        <v>122</v>
      </c>
      <c r="BP196" s="384">
        <v>128</v>
      </c>
      <c r="BQ196" s="384">
        <v>132</v>
      </c>
      <c r="BR196" s="384">
        <v>135</v>
      </c>
      <c r="BS196" s="384">
        <v>142</v>
      </c>
      <c r="BT196" s="384">
        <v>146</v>
      </c>
      <c r="BU196" s="384">
        <v>150</v>
      </c>
      <c r="BV196" s="384">
        <v>150</v>
      </c>
      <c r="CG196" s="380">
        <v>70</v>
      </c>
      <c r="CH196" s="384">
        <v>100</v>
      </c>
      <c r="CI196" s="384">
        <v>100</v>
      </c>
      <c r="CJ196" s="384">
        <v>100</v>
      </c>
      <c r="CK196" s="384">
        <v>103</v>
      </c>
      <c r="CL196" s="384">
        <v>106</v>
      </c>
      <c r="CM196" s="384">
        <v>109</v>
      </c>
      <c r="CN196" s="384">
        <v>109</v>
      </c>
      <c r="CO196" s="384">
        <v>112</v>
      </c>
      <c r="CP196" s="384">
        <v>118</v>
      </c>
      <c r="CQ196" s="384">
        <v>122</v>
      </c>
      <c r="CR196" s="384">
        <v>128</v>
      </c>
      <c r="CS196" s="384">
        <v>132</v>
      </c>
      <c r="CT196" s="384">
        <v>135</v>
      </c>
      <c r="CU196" s="384">
        <v>142</v>
      </c>
      <c r="CV196" s="384">
        <v>146</v>
      </c>
      <c r="CW196" s="384">
        <v>150</v>
      </c>
      <c r="CX196" s="384">
        <v>150</v>
      </c>
      <c r="DI196" s="380">
        <v>70</v>
      </c>
      <c r="DJ196" s="384">
        <v>100</v>
      </c>
      <c r="DK196" s="384">
        <v>100</v>
      </c>
      <c r="DL196" s="384">
        <v>100</v>
      </c>
      <c r="DM196" s="384">
        <v>103</v>
      </c>
      <c r="DN196" s="384">
        <v>106</v>
      </c>
      <c r="DO196" s="384">
        <v>109</v>
      </c>
      <c r="DP196" s="384">
        <v>112</v>
      </c>
      <c r="DQ196" s="384">
        <v>115</v>
      </c>
      <c r="DR196" s="384">
        <v>125</v>
      </c>
      <c r="DS196" s="384">
        <v>128</v>
      </c>
      <c r="DT196" s="384">
        <v>135</v>
      </c>
      <c r="DU196" s="384">
        <v>138</v>
      </c>
      <c r="DV196" s="384">
        <v>142</v>
      </c>
      <c r="DW196" s="384">
        <v>146</v>
      </c>
      <c r="DX196" s="384">
        <v>146</v>
      </c>
      <c r="DY196" s="384">
        <v>150</v>
      </c>
      <c r="DZ196" s="384">
        <v>154</v>
      </c>
    </row>
    <row r="197" spans="1:130" x14ac:dyDescent="0.15">
      <c r="A197" s="390">
        <v>71</v>
      </c>
      <c r="B197" s="391">
        <v>94</v>
      </c>
      <c r="C197" s="391">
        <v>94</v>
      </c>
      <c r="D197" s="391">
        <v>94</v>
      </c>
      <c r="E197" s="391">
        <v>94</v>
      </c>
      <c r="F197" s="391">
        <v>94</v>
      </c>
      <c r="G197" s="391">
        <v>97</v>
      </c>
      <c r="H197" s="391">
        <v>100</v>
      </c>
      <c r="I197" s="391">
        <v>106</v>
      </c>
      <c r="J197" s="391">
        <v>109</v>
      </c>
      <c r="K197" s="391">
        <v>115</v>
      </c>
      <c r="L197" s="391">
        <v>118</v>
      </c>
      <c r="M197" s="391">
        <v>125</v>
      </c>
      <c r="N197" s="391">
        <v>128</v>
      </c>
      <c r="O197" s="391">
        <v>132</v>
      </c>
      <c r="P197" s="391">
        <v>135</v>
      </c>
      <c r="Q197" s="391">
        <v>138</v>
      </c>
      <c r="R197" s="391">
        <v>142</v>
      </c>
      <c r="AC197" s="380">
        <v>71</v>
      </c>
      <c r="AD197" s="384">
        <v>97</v>
      </c>
      <c r="AE197" s="384">
        <v>97</v>
      </c>
      <c r="AF197" s="384">
        <v>97</v>
      </c>
      <c r="AG197" s="384">
        <v>97</v>
      </c>
      <c r="AH197" s="384">
        <v>100</v>
      </c>
      <c r="AI197" s="384">
        <v>103</v>
      </c>
      <c r="AJ197" s="384">
        <v>106</v>
      </c>
      <c r="AK197" s="384">
        <v>109</v>
      </c>
      <c r="AL197" s="384">
        <v>112</v>
      </c>
      <c r="AM197" s="384">
        <v>118</v>
      </c>
      <c r="AN197" s="384">
        <v>125</v>
      </c>
      <c r="AO197" s="384">
        <v>128</v>
      </c>
      <c r="AP197" s="384">
        <v>132</v>
      </c>
      <c r="AQ197" s="384">
        <v>135</v>
      </c>
      <c r="AR197" s="384">
        <v>138</v>
      </c>
      <c r="AS197" s="384">
        <v>142</v>
      </c>
      <c r="AT197" s="384">
        <v>146</v>
      </c>
      <c r="BE197" s="380">
        <v>71</v>
      </c>
      <c r="BF197" s="384">
        <v>100</v>
      </c>
      <c r="BG197" s="384">
        <v>100</v>
      </c>
      <c r="BH197" s="384">
        <v>100</v>
      </c>
      <c r="BI197" s="384">
        <v>100</v>
      </c>
      <c r="BJ197" s="384">
        <v>103</v>
      </c>
      <c r="BK197" s="384">
        <v>106</v>
      </c>
      <c r="BL197" s="384">
        <v>109</v>
      </c>
      <c r="BM197" s="384">
        <v>112</v>
      </c>
      <c r="BN197" s="384">
        <v>118</v>
      </c>
      <c r="BO197" s="384">
        <v>122</v>
      </c>
      <c r="BP197" s="384">
        <v>128</v>
      </c>
      <c r="BQ197" s="384">
        <v>132</v>
      </c>
      <c r="BR197" s="384">
        <v>135</v>
      </c>
      <c r="BS197" s="384">
        <v>142</v>
      </c>
      <c r="BT197" s="384">
        <v>146</v>
      </c>
      <c r="BU197" s="384">
        <v>150</v>
      </c>
      <c r="BV197" s="384">
        <v>150</v>
      </c>
      <c r="CG197" s="380">
        <v>71</v>
      </c>
      <c r="CH197" s="384">
        <v>100</v>
      </c>
      <c r="CI197" s="384">
        <v>100</v>
      </c>
      <c r="CJ197" s="384">
        <v>100</v>
      </c>
      <c r="CK197" s="384">
        <v>103</v>
      </c>
      <c r="CL197" s="384">
        <v>106</v>
      </c>
      <c r="CM197" s="384">
        <v>109</v>
      </c>
      <c r="CN197" s="384">
        <v>109</v>
      </c>
      <c r="CO197" s="384">
        <v>112</v>
      </c>
      <c r="CP197" s="384">
        <v>118</v>
      </c>
      <c r="CQ197" s="384">
        <v>122</v>
      </c>
      <c r="CR197" s="384">
        <v>128</v>
      </c>
      <c r="CS197" s="384">
        <v>132</v>
      </c>
      <c r="CT197" s="384">
        <v>135</v>
      </c>
      <c r="CU197" s="384">
        <v>142</v>
      </c>
      <c r="CV197" s="384">
        <v>146</v>
      </c>
      <c r="CW197" s="384">
        <v>150</v>
      </c>
      <c r="CX197" s="384">
        <v>150</v>
      </c>
      <c r="DI197" s="380">
        <v>71</v>
      </c>
      <c r="DJ197" s="384">
        <v>100</v>
      </c>
      <c r="DK197" s="384">
        <v>100</v>
      </c>
      <c r="DL197" s="384">
        <v>100</v>
      </c>
      <c r="DM197" s="384">
        <v>103</v>
      </c>
      <c r="DN197" s="395">
        <v>106</v>
      </c>
      <c r="DO197" s="384">
        <v>109</v>
      </c>
      <c r="DP197" s="384">
        <v>112</v>
      </c>
      <c r="DQ197" s="384">
        <v>115</v>
      </c>
      <c r="DR197" s="384">
        <v>125</v>
      </c>
      <c r="DS197" s="384">
        <v>128</v>
      </c>
      <c r="DT197" s="384">
        <v>135</v>
      </c>
      <c r="DU197" s="384">
        <v>138</v>
      </c>
      <c r="DV197" s="384">
        <v>142</v>
      </c>
      <c r="DW197" s="384">
        <v>146</v>
      </c>
      <c r="DX197" s="384">
        <v>146</v>
      </c>
      <c r="DY197" s="384">
        <v>150</v>
      </c>
      <c r="DZ197" s="384">
        <v>154</v>
      </c>
    </row>
    <row r="198" spans="1:130" x14ac:dyDescent="0.15">
      <c r="A198" s="390">
        <v>72</v>
      </c>
      <c r="B198" s="391">
        <v>94</v>
      </c>
      <c r="C198" s="391">
        <v>94</v>
      </c>
      <c r="D198" s="391">
        <v>94</v>
      </c>
      <c r="E198" s="391">
        <v>94</v>
      </c>
      <c r="F198" s="391">
        <v>94</v>
      </c>
      <c r="G198" s="391">
        <v>97</v>
      </c>
      <c r="H198" s="391">
        <v>100</v>
      </c>
      <c r="I198" s="391">
        <v>106</v>
      </c>
      <c r="J198" s="391">
        <v>109</v>
      </c>
      <c r="K198" s="391">
        <v>115</v>
      </c>
      <c r="L198" s="391">
        <v>118</v>
      </c>
      <c r="M198" s="391">
        <v>125</v>
      </c>
      <c r="N198" s="391">
        <v>128</v>
      </c>
      <c r="O198" s="391">
        <v>132</v>
      </c>
      <c r="P198" s="391">
        <v>135</v>
      </c>
      <c r="Q198" s="391">
        <v>138</v>
      </c>
      <c r="R198" s="391">
        <v>142</v>
      </c>
      <c r="AC198" s="380">
        <v>72</v>
      </c>
      <c r="AD198" s="384">
        <v>100</v>
      </c>
      <c r="AE198" s="384">
        <v>100</v>
      </c>
      <c r="AF198" s="384">
        <v>100</v>
      </c>
      <c r="AG198" s="384">
        <v>100</v>
      </c>
      <c r="AH198" s="384">
        <v>103</v>
      </c>
      <c r="AI198" s="384">
        <v>106</v>
      </c>
      <c r="AJ198" s="384">
        <v>109</v>
      </c>
      <c r="AK198" s="384">
        <v>112</v>
      </c>
      <c r="AL198" s="384">
        <v>115</v>
      </c>
      <c r="AM198" s="384">
        <v>122</v>
      </c>
      <c r="AN198" s="384">
        <v>128</v>
      </c>
      <c r="AO198" s="384">
        <v>132</v>
      </c>
      <c r="AP198" s="384">
        <v>135</v>
      </c>
      <c r="AQ198" s="384">
        <v>138</v>
      </c>
      <c r="AR198" s="384">
        <v>142</v>
      </c>
      <c r="AS198" s="384">
        <v>146</v>
      </c>
      <c r="AT198" s="384">
        <v>150</v>
      </c>
      <c r="BE198" s="380">
        <v>72</v>
      </c>
      <c r="BF198" s="384">
        <v>100</v>
      </c>
      <c r="BG198" s="384">
        <v>100</v>
      </c>
      <c r="BH198" s="384">
        <v>100</v>
      </c>
      <c r="BI198" s="384">
        <v>100</v>
      </c>
      <c r="BJ198" s="384">
        <v>103</v>
      </c>
      <c r="BK198" s="384">
        <v>106</v>
      </c>
      <c r="BL198" s="384">
        <v>109</v>
      </c>
      <c r="BM198" s="384">
        <v>112</v>
      </c>
      <c r="BN198" s="384">
        <v>118</v>
      </c>
      <c r="BO198" s="384">
        <v>122</v>
      </c>
      <c r="BP198" s="384">
        <v>128</v>
      </c>
      <c r="BQ198" s="384">
        <v>132</v>
      </c>
      <c r="BR198" s="384">
        <v>135</v>
      </c>
      <c r="BS198" s="384">
        <v>142</v>
      </c>
      <c r="BT198" s="384">
        <v>146</v>
      </c>
      <c r="BU198" s="384">
        <v>150</v>
      </c>
      <c r="BV198" s="384">
        <v>150</v>
      </c>
      <c r="CG198" s="380">
        <v>72</v>
      </c>
      <c r="CH198" s="384">
        <v>100</v>
      </c>
      <c r="CI198" s="384">
        <v>100</v>
      </c>
      <c r="CJ198" s="384">
        <v>100</v>
      </c>
      <c r="CK198" s="384">
        <v>103</v>
      </c>
      <c r="CL198" s="384">
        <v>106</v>
      </c>
      <c r="CM198" s="384">
        <v>109</v>
      </c>
      <c r="CN198" s="384">
        <v>109</v>
      </c>
      <c r="CO198" s="384">
        <v>112</v>
      </c>
      <c r="CP198" s="384">
        <v>118</v>
      </c>
      <c r="CQ198" s="384">
        <v>122</v>
      </c>
      <c r="CR198" s="384">
        <v>128</v>
      </c>
      <c r="CS198" s="384">
        <v>132</v>
      </c>
      <c r="CT198" s="384">
        <v>135</v>
      </c>
      <c r="CU198" s="384">
        <v>142</v>
      </c>
      <c r="CV198" s="384">
        <v>146</v>
      </c>
      <c r="CW198" s="384">
        <v>150</v>
      </c>
      <c r="CX198" s="384">
        <v>150</v>
      </c>
      <c r="DI198" s="380">
        <v>72</v>
      </c>
      <c r="DJ198" s="384">
        <v>100</v>
      </c>
      <c r="DK198" s="384">
        <v>100</v>
      </c>
      <c r="DL198" s="384">
        <v>100</v>
      </c>
      <c r="DM198" s="384">
        <v>103</v>
      </c>
      <c r="DN198" s="384">
        <v>106</v>
      </c>
      <c r="DO198" s="384">
        <v>109</v>
      </c>
      <c r="DP198" s="384">
        <v>112</v>
      </c>
      <c r="DQ198" s="384">
        <v>115</v>
      </c>
      <c r="DR198" s="384">
        <v>125</v>
      </c>
      <c r="DS198" s="384">
        <v>128</v>
      </c>
      <c r="DT198" s="384">
        <v>135</v>
      </c>
      <c r="DU198" s="384">
        <v>138</v>
      </c>
      <c r="DV198" s="384">
        <v>142</v>
      </c>
      <c r="DW198" s="384">
        <v>146</v>
      </c>
      <c r="DX198" s="384">
        <v>146</v>
      </c>
      <c r="DY198" s="384">
        <v>150</v>
      </c>
      <c r="DZ198" s="384">
        <v>154</v>
      </c>
    </row>
    <row r="199" spans="1:130" x14ac:dyDescent="0.15">
      <c r="A199" s="390">
        <v>73</v>
      </c>
      <c r="B199" s="391">
        <v>97</v>
      </c>
      <c r="C199" s="391">
        <v>97</v>
      </c>
      <c r="D199" s="391">
        <v>97</v>
      </c>
      <c r="E199" s="391">
        <v>97</v>
      </c>
      <c r="F199" s="391">
        <v>97</v>
      </c>
      <c r="G199" s="391">
        <v>100</v>
      </c>
      <c r="H199" s="391">
        <v>103</v>
      </c>
      <c r="I199" s="391">
        <v>109</v>
      </c>
      <c r="J199" s="391">
        <v>112</v>
      </c>
      <c r="K199" s="391">
        <v>118</v>
      </c>
      <c r="L199" s="391">
        <v>122</v>
      </c>
      <c r="M199" s="391">
        <v>128</v>
      </c>
      <c r="N199" s="391">
        <v>132</v>
      </c>
      <c r="O199" s="391">
        <v>135</v>
      </c>
      <c r="P199" s="391">
        <v>138</v>
      </c>
      <c r="Q199" s="391">
        <v>142</v>
      </c>
      <c r="R199" s="391">
        <v>146</v>
      </c>
      <c r="AC199" s="380">
        <v>73</v>
      </c>
      <c r="AD199" s="384">
        <v>100</v>
      </c>
      <c r="AE199" s="384">
        <v>100</v>
      </c>
      <c r="AF199" s="384">
        <v>100</v>
      </c>
      <c r="AG199" s="384">
        <v>100</v>
      </c>
      <c r="AH199" s="384">
        <v>103</v>
      </c>
      <c r="AI199" s="384">
        <v>106</v>
      </c>
      <c r="AJ199" s="384">
        <v>109</v>
      </c>
      <c r="AK199" s="384">
        <v>112</v>
      </c>
      <c r="AL199" s="384">
        <v>115</v>
      </c>
      <c r="AM199" s="384">
        <v>122</v>
      </c>
      <c r="AN199" s="384">
        <v>128</v>
      </c>
      <c r="AO199" s="384">
        <v>132</v>
      </c>
      <c r="AP199" s="384">
        <v>135</v>
      </c>
      <c r="AQ199" s="384">
        <v>138</v>
      </c>
      <c r="AR199" s="384">
        <v>142</v>
      </c>
      <c r="AS199" s="384">
        <v>146</v>
      </c>
      <c r="AT199" s="384">
        <v>150</v>
      </c>
      <c r="BE199" s="380">
        <v>73</v>
      </c>
      <c r="BF199" s="384">
        <v>100</v>
      </c>
      <c r="BG199" s="384">
        <v>100</v>
      </c>
      <c r="BH199" s="384">
        <v>100</v>
      </c>
      <c r="BI199" s="384">
        <v>100</v>
      </c>
      <c r="BJ199" s="384">
        <v>103</v>
      </c>
      <c r="BK199" s="384">
        <v>106</v>
      </c>
      <c r="BL199" s="384">
        <v>109</v>
      </c>
      <c r="BM199" s="384">
        <v>112</v>
      </c>
      <c r="BN199" s="384">
        <v>118</v>
      </c>
      <c r="BO199" s="384">
        <v>122</v>
      </c>
      <c r="BP199" s="384">
        <v>128</v>
      </c>
      <c r="BQ199" s="384">
        <v>132</v>
      </c>
      <c r="BR199" s="384">
        <v>135</v>
      </c>
      <c r="BS199" s="384">
        <v>142</v>
      </c>
      <c r="BT199" s="384">
        <v>146</v>
      </c>
      <c r="BU199" s="384">
        <v>150</v>
      </c>
      <c r="BV199" s="384">
        <v>150</v>
      </c>
      <c r="CG199" s="380">
        <v>73</v>
      </c>
      <c r="CH199" s="384">
        <v>100</v>
      </c>
      <c r="CI199" s="384">
        <v>100</v>
      </c>
      <c r="CJ199" s="384">
        <v>100</v>
      </c>
      <c r="CK199" s="384">
        <v>103</v>
      </c>
      <c r="CL199" s="384">
        <v>106</v>
      </c>
      <c r="CM199" s="384">
        <v>109</v>
      </c>
      <c r="CN199" s="384">
        <v>109</v>
      </c>
      <c r="CO199" s="384">
        <v>112</v>
      </c>
      <c r="CP199" s="384">
        <v>118</v>
      </c>
      <c r="CQ199" s="384">
        <v>122</v>
      </c>
      <c r="CR199" s="384">
        <v>128</v>
      </c>
      <c r="CS199" s="384">
        <v>132</v>
      </c>
      <c r="CT199" s="384">
        <v>135</v>
      </c>
      <c r="CU199" s="384">
        <v>142</v>
      </c>
      <c r="CV199" s="384">
        <v>146</v>
      </c>
      <c r="CW199" s="384">
        <v>150</v>
      </c>
      <c r="CX199" s="384">
        <v>150</v>
      </c>
      <c r="DI199" s="380">
        <v>73</v>
      </c>
      <c r="DJ199" s="384">
        <v>100</v>
      </c>
      <c r="DK199" s="384">
        <v>100</v>
      </c>
      <c r="DL199" s="384">
        <v>100</v>
      </c>
      <c r="DM199" s="384">
        <v>103</v>
      </c>
      <c r="DN199" s="384">
        <v>106</v>
      </c>
      <c r="DO199" s="384">
        <v>109</v>
      </c>
      <c r="DP199" s="384">
        <v>112</v>
      </c>
      <c r="DQ199" s="384">
        <v>115</v>
      </c>
      <c r="DR199" s="384">
        <v>125</v>
      </c>
      <c r="DS199" s="384">
        <v>128</v>
      </c>
      <c r="DT199" s="384">
        <v>135</v>
      </c>
      <c r="DU199" s="384">
        <v>138</v>
      </c>
      <c r="DV199" s="384">
        <v>142</v>
      </c>
      <c r="DW199" s="384">
        <v>146</v>
      </c>
      <c r="DX199" s="384">
        <v>146</v>
      </c>
      <c r="DY199" s="384">
        <v>150</v>
      </c>
      <c r="DZ199" s="384">
        <v>154</v>
      </c>
    </row>
    <row r="200" spans="1:130" x14ac:dyDescent="0.15">
      <c r="A200" s="390">
        <v>74</v>
      </c>
      <c r="B200" s="391">
        <v>97</v>
      </c>
      <c r="C200" s="391">
        <v>97</v>
      </c>
      <c r="D200" s="391">
        <v>97</v>
      </c>
      <c r="E200" s="391">
        <v>97</v>
      </c>
      <c r="F200" s="391">
        <v>97</v>
      </c>
      <c r="G200" s="391">
        <v>100</v>
      </c>
      <c r="H200" s="391">
        <v>103</v>
      </c>
      <c r="I200" s="391">
        <v>109</v>
      </c>
      <c r="J200" s="391">
        <v>112</v>
      </c>
      <c r="K200" s="391">
        <v>118</v>
      </c>
      <c r="L200" s="391">
        <v>122</v>
      </c>
      <c r="M200" s="391">
        <v>128</v>
      </c>
      <c r="N200" s="391">
        <v>132</v>
      </c>
      <c r="O200" s="391">
        <v>135</v>
      </c>
      <c r="P200" s="391">
        <v>138</v>
      </c>
      <c r="Q200" s="391">
        <v>142</v>
      </c>
      <c r="R200" s="391">
        <v>146</v>
      </c>
      <c r="AC200" s="380">
        <v>74</v>
      </c>
      <c r="AD200" s="384">
        <v>100</v>
      </c>
      <c r="AE200" s="384">
        <v>100</v>
      </c>
      <c r="AF200" s="384">
        <v>100</v>
      </c>
      <c r="AG200" s="384">
        <v>100</v>
      </c>
      <c r="AH200" s="384">
        <v>103</v>
      </c>
      <c r="AI200" s="384">
        <v>106</v>
      </c>
      <c r="AJ200" s="384">
        <v>109</v>
      </c>
      <c r="AK200" s="384">
        <v>112</v>
      </c>
      <c r="AL200" s="384">
        <v>115</v>
      </c>
      <c r="AM200" s="384">
        <v>122</v>
      </c>
      <c r="AN200" s="384">
        <v>128</v>
      </c>
      <c r="AO200" s="384">
        <v>132</v>
      </c>
      <c r="AP200" s="384">
        <v>135</v>
      </c>
      <c r="AQ200" s="384">
        <v>138</v>
      </c>
      <c r="AR200" s="384">
        <v>142</v>
      </c>
      <c r="AS200" s="384">
        <v>146</v>
      </c>
      <c r="AT200" s="384">
        <v>150</v>
      </c>
      <c r="BE200" s="380">
        <v>74</v>
      </c>
      <c r="BF200" s="384">
        <v>100</v>
      </c>
      <c r="BG200" s="384">
        <v>100</v>
      </c>
      <c r="BH200" s="384">
        <v>100</v>
      </c>
      <c r="BI200" s="384">
        <v>100</v>
      </c>
      <c r="BJ200" s="384">
        <v>103</v>
      </c>
      <c r="BK200" s="384">
        <v>106</v>
      </c>
      <c r="BL200" s="384">
        <v>109</v>
      </c>
      <c r="BM200" s="384">
        <v>112</v>
      </c>
      <c r="BN200" s="384">
        <v>118</v>
      </c>
      <c r="BO200" s="384">
        <v>122</v>
      </c>
      <c r="BP200" s="384">
        <v>128</v>
      </c>
      <c r="BQ200" s="384">
        <v>132</v>
      </c>
      <c r="BR200" s="384">
        <v>135</v>
      </c>
      <c r="BS200" s="384">
        <v>142</v>
      </c>
      <c r="BT200" s="384">
        <v>146</v>
      </c>
      <c r="BU200" s="384">
        <v>150</v>
      </c>
      <c r="BV200" s="384">
        <v>150</v>
      </c>
      <c r="CG200" s="380">
        <v>74</v>
      </c>
      <c r="CH200" s="384">
        <v>100</v>
      </c>
      <c r="CI200" s="384">
        <v>100</v>
      </c>
      <c r="CJ200" s="384">
        <v>100</v>
      </c>
      <c r="CK200" s="384">
        <v>103</v>
      </c>
      <c r="CL200" s="384">
        <v>106</v>
      </c>
      <c r="CM200" s="384">
        <v>109</v>
      </c>
      <c r="CN200" s="384">
        <v>109</v>
      </c>
      <c r="CO200" s="384">
        <v>112</v>
      </c>
      <c r="CP200" s="384">
        <v>118</v>
      </c>
      <c r="CQ200" s="384">
        <v>122</v>
      </c>
      <c r="CR200" s="384">
        <v>128</v>
      </c>
      <c r="CS200" s="384">
        <v>132</v>
      </c>
      <c r="CT200" s="384">
        <v>135</v>
      </c>
      <c r="CU200" s="384">
        <v>142</v>
      </c>
      <c r="CV200" s="384">
        <v>146</v>
      </c>
      <c r="CW200" s="384">
        <v>150</v>
      </c>
      <c r="CX200" s="384">
        <v>150</v>
      </c>
      <c r="DI200" s="380">
        <v>74</v>
      </c>
      <c r="DJ200" s="384">
        <v>100</v>
      </c>
      <c r="DK200" s="384">
        <v>100</v>
      </c>
      <c r="DL200" s="384">
        <v>100</v>
      </c>
      <c r="DM200" s="384">
        <v>103</v>
      </c>
      <c r="DN200" s="384">
        <v>106</v>
      </c>
      <c r="DO200" s="384">
        <v>109</v>
      </c>
      <c r="DP200" s="384">
        <v>112</v>
      </c>
      <c r="DQ200" s="384">
        <v>115</v>
      </c>
      <c r="DR200" s="384">
        <v>125</v>
      </c>
      <c r="DS200" s="384">
        <v>128</v>
      </c>
      <c r="DT200" s="384">
        <v>135</v>
      </c>
      <c r="DU200" s="384">
        <v>138</v>
      </c>
      <c r="DV200" s="384">
        <v>142</v>
      </c>
      <c r="DW200" s="384">
        <v>146</v>
      </c>
      <c r="DX200" s="384">
        <v>146</v>
      </c>
      <c r="DY200" s="384">
        <v>150</v>
      </c>
      <c r="DZ200" s="384">
        <v>154</v>
      </c>
    </row>
    <row r="201" spans="1:130" x14ac:dyDescent="0.15">
      <c r="A201" s="390">
        <v>75</v>
      </c>
      <c r="B201" s="391">
        <v>97</v>
      </c>
      <c r="C201" s="391">
        <v>97</v>
      </c>
      <c r="D201" s="391">
        <v>97</v>
      </c>
      <c r="E201" s="391">
        <v>97</v>
      </c>
      <c r="F201" s="391">
        <v>97</v>
      </c>
      <c r="G201" s="391">
        <v>100</v>
      </c>
      <c r="H201" s="391">
        <v>103</v>
      </c>
      <c r="I201" s="391">
        <v>109</v>
      </c>
      <c r="J201" s="391">
        <v>112</v>
      </c>
      <c r="K201" s="391">
        <v>118</v>
      </c>
      <c r="L201" s="391">
        <v>122</v>
      </c>
      <c r="M201" s="391">
        <v>128</v>
      </c>
      <c r="N201" s="391">
        <v>132</v>
      </c>
      <c r="O201" s="391">
        <v>135</v>
      </c>
      <c r="P201" s="391">
        <v>138</v>
      </c>
      <c r="Q201" s="391">
        <v>142</v>
      </c>
      <c r="R201" s="391">
        <v>146</v>
      </c>
      <c r="AC201" s="380">
        <v>75</v>
      </c>
      <c r="AD201" s="384">
        <v>100</v>
      </c>
      <c r="AE201" s="384">
        <v>100</v>
      </c>
      <c r="AF201" s="384">
        <v>100</v>
      </c>
      <c r="AG201" s="384">
        <v>100</v>
      </c>
      <c r="AH201" s="384">
        <v>103</v>
      </c>
      <c r="AI201" s="384">
        <v>106</v>
      </c>
      <c r="AJ201" s="384">
        <v>109</v>
      </c>
      <c r="AK201" s="384">
        <v>112</v>
      </c>
      <c r="AL201" s="384">
        <v>115</v>
      </c>
      <c r="AM201" s="384">
        <v>122</v>
      </c>
      <c r="AN201" s="384">
        <v>128</v>
      </c>
      <c r="AO201" s="384">
        <v>132</v>
      </c>
      <c r="AP201" s="384">
        <v>135</v>
      </c>
      <c r="AQ201" s="384">
        <v>138</v>
      </c>
      <c r="AR201" s="384">
        <v>142</v>
      </c>
      <c r="AS201" s="384">
        <v>146</v>
      </c>
      <c r="AT201" s="384">
        <v>150</v>
      </c>
      <c r="BE201" s="380">
        <v>75</v>
      </c>
      <c r="BF201" s="384">
        <v>100</v>
      </c>
      <c r="BG201" s="384">
        <v>100</v>
      </c>
      <c r="BH201" s="384">
        <v>100</v>
      </c>
      <c r="BI201" s="384">
        <v>100</v>
      </c>
      <c r="BJ201" s="384">
        <v>103</v>
      </c>
      <c r="BK201" s="384">
        <v>106</v>
      </c>
      <c r="BL201" s="384">
        <v>109</v>
      </c>
      <c r="BM201" s="384">
        <v>112</v>
      </c>
      <c r="BN201" s="384">
        <v>118</v>
      </c>
      <c r="BO201" s="384">
        <v>122</v>
      </c>
      <c r="BP201" s="384">
        <v>128</v>
      </c>
      <c r="BQ201" s="384">
        <v>132</v>
      </c>
      <c r="BR201" s="384">
        <v>135</v>
      </c>
      <c r="BS201" s="384">
        <v>142</v>
      </c>
      <c r="BT201" s="384">
        <v>146</v>
      </c>
      <c r="BU201" s="384">
        <v>150</v>
      </c>
      <c r="BV201" s="384">
        <v>150</v>
      </c>
      <c r="CG201" s="380">
        <v>75</v>
      </c>
      <c r="CH201" s="384">
        <v>100</v>
      </c>
      <c r="CI201" s="384">
        <v>100</v>
      </c>
      <c r="CJ201" s="384">
        <v>100</v>
      </c>
      <c r="CK201" s="384">
        <v>103</v>
      </c>
      <c r="CL201" s="384">
        <v>106</v>
      </c>
      <c r="CM201" s="384">
        <v>109</v>
      </c>
      <c r="CN201" s="384">
        <v>109</v>
      </c>
      <c r="CO201" s="384">
        <v>112</v>
      </c>
      <c r="CP201" s="384">
        <v>118</v>
      </c>
      <c r="CQ201" s="384">
        <v>122</v>
      </c>
      <c r="CR201" s="384">
        <v>128</v>
      </c>
      <c r="CS201" s="384">
        <v>132</v>
      </c>
      <c r="CT201" s="384">
        <v>135</v>
      </c>
      <c r="CU201" s="384">
        <v>142</v>
      </c>
      <c r="CV201" s="384">
        <v>146</v>
      </c>
      <c r="CW201" s="384">
        <v>150</v>
      </c>
      <c r="CX201" s="384">
        <v>150</v>
      </c>
      <c r="DI201" s="380">
        <v>75</v>
      </c>
      <c r="DJ201" s="384">
        <v>100</v>
      </c>
      <c r="DK201" s="384">
        <v>100</v>
      </c>
      <c r="DL201" s="384">
        <v>100</v>
      </c>
      <c r="DM201" s="384">
        <v>103</v>
      </c>
      <c r="DN201" s="384">
        <v>106</v>
      </c>
      <c r="DO201" s="384">
        <v>109</v>
      </c>
      <c r="DP201" s="384">
        <v>112</v>
      </c>
      <c r="DQ201" s="384">
        <v>115</v>
      </c>
      <c r="DR201" s="384">
        <v>125</v>
      </c>
      <c r="DS201" s="384">
        <v>128</v>
      </c>
      <c r="DT201" s="384">
        <v>135</v>
      </c>
      <c r="DU201" s="384">
        <v>138</v>
      </c>
      <c r="DV201" s="384">
        <v>142</v>
      </c>
      <c r="DW201" s="384">
        <v>146</v>
      </c>
      <c r="DX201" s="384">
        <v>146</v>
      </c>
      <c r="DY201" s="384">
        <v>150</v>
      </c>
      <c r="DZ201" s="384">
        <v>154</v>
      </c>
    </row>
    <row r="202" spans="1:130" x14ac:dyDescent="0.15">
      <c r="A202" s="390">
        <v>76</v>
      </c>
      <c r="B202" s="391">
        <v>97</v>
      </c>
      <c r="C202" s="391">
        <v>97</v>
      </c>
      <c r="D202" s="391">
        <v>97</v>
      </c>
      <c r="E202" s="391">
        <v>97</v>
      </c>
      <c r="F202" s="391">
        <v>97</v>
      </c>
      <c r="G202" s="391">
        <v>100</v>
      </c>
      <c r="H202" s="391">
        <v>103</v>
      </c>
      <c r="I202" s="391">
        <v>109</v>
      </c>
      <c r="J202" s="391">
        <v>112</v>
      </c>
      <c r="K202" s="391">
        <v>118</v>
      </c>
      <c r="L202" s="391">
        <v>122</v>
      </c>
      <c r="M202" s="391">
        <v>128</v>
      </c>
      <c r="N202" s="391">
        <v>132</v>
      </c>
      <c r="O202" s="391">
        <v>135</v>
      </c>
      <c r="P202" s="391">
        <v>138</v>
      </c>
      <c r="Q202" s="391">
        <v>142</v>
      </c>
      <c r="R202" s="391">
        <v>146</v>
      </c>
      <c r="AC202" s="380">
        <v>76</v>
      </c>
      <c r="AD202" s="384">
        <v>100</v>
      </c>
      <c r="AE202" s="384">
        <v>100</v>
      </c>
      <c r="AF202" s="384">
        <v>100</v>
      </c>
      <c r="AG202" s="384">
        <v>100</v>
      </c>
      <c r="AH202" s="384">
        <v>103</v>
      </c>
      <c r="AI202" s="384">
        <v>106</v>
      </c>
      <c r="AJ202" s="384">
        <v>109</v>
      </c>
      <c r="AK202" s="384">
        <v>112</v>
      </c>
      <c r="AL202" s="384">
        <v>115</v>
      </c>
      <c r="AM202" s="384">
        <v>122</v>
      </c>
      <c r="AN202" s="384">
        <v>128</v>
      </c>
      <c r="AO202" s="384">
        <v>132</v>
      </c>
      <c r="AP202" s="384">
        <v>135</v>
      </c>
      <c r="AQ202" s="384">
        <v>138</v>
      </c>
      <c r="AR202" s="384">
        <v>142</v>
      </c>
      <c r="AS202" s="384">
        <v>146</v>
      </c>
      <c r="AT202" s="384">
        <v>150</v>
      </c>
      <c r="BE202" s="380">
        <v>76</v>
      </c>
      <c r="BF202" s="384">
        <v>100</v>
      </c>
      <c r="BG202" s="384">
        <v>100</v>
      </c>
      <c r="BH202" s="384">
        <v>100</v>
      </c>
      <c r="BI202" s="384">
        <v>100</v>
      </c>
      <c r="BJ202" s="384">
        <v>103</v>
      </c>
      <c r="BK202" s="384">
        <v>106</v>
      </c>
      <c r="BL202" s="384">
        <v>109</v>
      </c>
      <c r="BM202" s="384">
        <v>112</v>
      </c>
      <c r="BN202" s="384">
        <v>118</v>
      </c>
      <c r="BO202" s="384">
        <v>122</v>
      </c>
      <c r="BP202" s="384">
        <v>128</v>
      </c>
      <c r="BQ202" s="384">
        <v>132</v>
      </c>
      <c r="BR202" s="384">
        <v>135</v>
      </c>
      <c r="BS202" s="384">
        <v>142</v>
      </c>
      <c r="BT202" s="384">
        <v>146</v>
      </c>
      <c r="BU202" s="384">
        <v>150</v>
      </c>
      <c r="BV202" s="384">
        <v>150</v>
      </c>
      <c r="CG202" s="380">
        <v>76</v>
      </c>
      <c r="CH202" s="384">
        <v>100</v>
      </c>
      <c r="CI202" s="384">
        <v>100</v>
      </c>
      <c r="CJ202" s="384">
        <v>100</v>
      </c>
      <c r="CK202" s="384">
        <v>103</v>
      </c>
      <c r="CL202" s="384">
        <v>106</v>
      </c>
      <c r="CM202" s="384">
        <v>109</v>
      </c>
      <c r="CN202" s="384">
        <v>109</v>
      </c>
      <c r="CO202" s="384">
        <v>112</v>
      </c>
      <c r="CP202" s="384">
        <v>118</v>
      </c>
      <c r="CQ202" s="384">
        <v>122</v>
      </c>
      <c r="CR202" s="384">
        <v>128</v>
      </c>
      <c r="CS202" s="384">
        <v>132</v>
      </c>
      <c r="CT202" s="384">
        <v>135</v>
      </c>
      <c r="CU202" s="384">
        <v>142</v>
      </c>
      <c r="CV202" s="384">
        <v>146</v>
      </c>
      <c r="CW202" s="384">
        <v>150</v>
      </c>
      <c r="CX202" s="384">
        <v>150</v>
      </c>
      <c r="DI202" s="380">
        <v>76</v>
      </c>
      <c r="DJ202" s="384">
        <v>100</v>
      </c>
      <c r="DK202" s="384">
        <v>100</v>
      </c>
      <c r="DL202" s="384">
        <v>100</v>
      </c>
      <c r="DM202" s="384">
        <v>103</v>
      </c>
      <c r="DN202" s="384">
        <v>106</v>
      </c>
      <c r="DO202" s="384">
        <v>109</v>
      </c>
      <c r="DP202" s="384">
        <v>112</v>
      </c>
      <c r="DQ202" s="384">
        <v>115</v>
      </c>
      <c r="DR202" s="384">
        <v>125</v>
      </c>
      <c r="DS202" s="384">
        <v>128</v>
      </c>
      <c r="DT202" s="384">
        <v>135</v>
      </c>
      <c r="DU202" s="384">
        <v>138</v>
      </c>
      <c r="DV202" s="384">
        <v>142</v>
      </c>
      <c r="DW202" s="384">
        <v>146</v>
      </c>
      <c r="DX202" s="384">
        <v>146</v>
      </c>
      <c r="DY202" s="384">
        <v>150</v>
      </c>
      <c r="DZ202" s="384">
        <v>154</v>
      </c>
    </row>
    <row r="203" spans="1:130" x14ac:dyDescent="0.15">
      <c r="A203" s="390">
        <v>77</v>
      </c>
      <c r="B203" s="391">
        <v>97</v>
      </c>
      <c r="C203" s="391">
        <v>97</v>
      </c>
      <c r="D203" s="391">
        <v>97</v>
      </c>
      <c r="E203" s="391">
        <v>97</v>
      </c>
      <c r="F203" s="391">
        <v>97</v>
      </c>
      <c r="G203" s="391">
        <v>100</v>
      </c>
      <c r="H203" s="391">
        <v>103</v>
      </c>
      <c r="I203" s="391">
        <v>109</v>
      </c>
      <c r="J203" s="391">
        <v>112</v>
      </c>
      <c r="K203" s="391">
        <v>118</v>
      </c>
      <c r="L203" s="391">
        <v>122</v>
      </c>
      <c r="M203" s="391">
        <v>128</v>
      </c>
      <c r="N203" s="391">
        <v>132</v>
      </c>
      <c r="O203" s="391">
        <v>135</v>
      </c>
      <c r="P203" s="391">
        <v>138</v>
      </c>
      <c r="Q203" s="391">
        <v>142</v>
      </c>
      <c r="R203" s="391">
        <v>146</v>
      </c>
      <c r="AC203" s="380">
        <v>77</v>
      </c>
      <c r="AD203" s="384">
        <v>100</v>
      </c>
      <c r="AE203" s="384">
        <v>100</v>
      </c>
      <c r="AF203" s="384">
        <v>100</v>
      </c>
      <c r="AG203" s="384">
        <v>100</v>
      </c>
      <c r="AH203" s="384">
        <v>103</v>
      </c>
      <c r="AI203" s="384">
        <v>106</v>
      </c>
      <c r="AJ203" s="384">
        <v>109</v>
      </c>
      <c r="AK203" s="384">
        <v>112</v>
      </c>
      <c r="AL203" s="384">
        <v>115</v>
      </c>
      <c r="AM203" s="384">
        <v>122</v>
      </c>
      <c r="AN203" s="384">
        <v>128</v>
      </c>
      <c r="AO203" s="384">
        <v>132</v>
      </c>
      <c r="AP203" s="384">
        <v>135</v>
      </c>
      <c r="AQ203" s="384">
        <v>138</v>
      </c>
      <c r="AR203" s="384">
        <v>142</v>
      </c>
      <c r="AS203" s="384">
        <v>146</v>
      </c>
      <c r="AT203" s="384">
        <v>150</v>
      </c>
      <c r="BE203" s="380">
        <v>77</v>
      </c>
      <c r="BF203" s="384">
        <v>100</v>
      </c>
      <c r="BG203" s="384">
        <v>100</v>
      </c>
      <c r="BH203" s="384">
        <v>100</v>
      </c>
      <c r="BI203" s="384">
        <v>100</v>
      </c>
      <c r="BJ203" s="384">
        <v>103</v>
      </c>
      <c r="BK203" s="384">
        <v>106</v>
      </c>
      <c r="BL203" s="384">
        <v>109</v>
      </c>
      <c r="BM203" s="384">
        <v>112</v>
      </c>
      <c r="BN203" s="384">
        <v>118</v>
      </c>
      <c r="BO203" s="384">
        <v>122</v>
      </c>
      <c r="BP203" s="384">
        <v>128</v>
      </c>
      <c r="BQ203" s="384">
        <v>132</v>
      </c>
      <c r="BR203" s="384">
        <v>135</v>
      </c>
      <c r="BS203" s="384">
        <v>142</v>
      </c>
      <c r="BT203" s="384">
        <v>146</v>
      </c>
      <c r="BU203" s="384">
        <v>150</v>
      </c>
      <c r="BV203" s="384">
        <v>150</v>
      </c>
      <c r="CG203" s="380">
        <v>77</v>
      </c>
      <c r="CH203" s="384">
        <v>100</v>
      </c>
      <c r="CI203" s="384">
        <v>100</v>
      </c>
      <c r="CJ203" s="384">
        <v>100</v>
      </c>
      <c r="CK203" s="384">
        <v>103</v>
      </c>
      <c r="CL203" s="384">
        <v>106</v>
      </c>
      <c r="CM203" s="384">
        <v>109</v>
      </c>
      <c r="CN203" s="384">
        <v>109</v>
      </c>
      <c r="CO203" s="384">
        <v>112</v>
      </c>
      <c r="CP203" s="384">
        <v>118</v>
      </c>
      <c r="CQ203" s="384">
        <v>122</v>
      </c>
      <c r="CR203" s="384">
        <v>128</v>
      </c>
      <c r="CS203" s="384">
        <v>132</v>
      </c>
      <c r="CT203" s="384">
        <v>135</v>
      </c>
      <c r="CU203" s="384">
        <v>142</v>
      </c>
      <c r="CV203" s="384">
        <v>146</v>
      </c>
      <c r="CW203" s="384">
        <v>150</v>
      </c>
      <c r="CX203" s="384">
        <v>150</v>
      </c>
      <c r="DI203" s="380">
        <v>77</v>
      </c>
      <c r="DJ203" s="384">
        <v>100</v>
      </c>
      <c r="DK203" s="384">
        <v>100</v>
      </c>
      <c r="DL203" s="384">
        <v>100</v>
      </c>
      <c r="DM203" s="384">
        <v>103</v>
      </c>
      <c r="DN203" s="384">
        <v>106</v>
      </c>
      <c r="DO203" s="384">
        <v>109</v>
      </c>
      <c r="DP203" s="384">
        <v>112</v>
      </c>
      <c r="DQ203" s="384">
        <v>115</v>
      </c>
      <c r="DR203" s="384">
        <v>125</v>
      </c>
      <c r="DS203" s="384">
        <v>128</v>
      </c>
      <c r="DT203" s="384">
        <v>135</v>
      </c>
      <c r="DU203" s="384">
        <v>138</v>
      </c>
      <c r="DV203" s="384">
        <v>142</v>
      </c>
      <c r="DW203" s="384">
        <v>146</v>
      </c>
      <c r="DX203" s="384">
        <v>146</v>
      </c>
      <c r="DY203" s="384">
        <v>150</v>
      </c>
      <c r="DZ203" s="384">
        <v>154</v>
      </c>
    </row>
    <row r="204" spans="1:130" x14ac:dyDescent="0.15">
      <c r="A204" s="390">
        <v>78</v>
      </c>
      <c r="B204" s="391">
        <v>100</v>
      </c>
      <c r="C204" s="391">
        <v>100</v>
      </c>
      <c r="D204" s="391">
        <v>100</v>
      </c>
      <c r="E204" s="391">
        <v>100</v>
      </c>
      <c r="F204" s="391">
        <v>100</v>
      </c>
      <c r="G204" s="391">
        <v>103</v>
      </c>
      <c r="H204" s="391">
        <v>106</v>
      </c>
      <c r="I204" s="391">
        <v>112</v>
      </c>
      <c r="J204" s="391">
        <v>115</v>
      </c>
      <c r="K204" s="391">
        <v>122</v>
      </c>
      <c r="L204" s="391">
        <v>125</v>
      </c>
      <c r="M204" s="391">
        <v>132</v>
      </c>
      <c r="N204" s="391">
        <v>135</v>
      </c>
      <c r="O204" s="391">
        <v>138</v>
      </c>
      <c r="P204" s="391">
        <v>142</v>
      </c>
      <c r="Q204" s="391">
        <v>146</v>
      </c>
      <c r="R204" s="391">
        <v>150</v>
      </c>
      <c r="AC204" s="380">
        <v>78</v>
      </c>
      <c r="AD204" s="384">
        <v>100</v>
      </c>
      <c r="AE204" s="384">
        <v>100</v>
      </c>
      <c r="AF204" s="384">
        <v>100</v>
      </c>
      <c r="AG204" s="384">
        <v>100</v>
      </c>
      <c r="AH204" s="384">
        <v>103</v>
      </c>
      <c r="AI204" s="384">
        <v>106</v>
      </c>
      <c r="AJ204" s="384">
        <v>109</v>
      </c>
      <c r="AK204" s="384">
        <v>112</v>
      </c>
      <c r="AL204" s="384">
        <v>115</v>
      </c>
      <c r="AM204" s="384">
        <v>122</v>
      </c>
      <c r="AN204" s="384">
        <v>128</v>
      </c>
      <c r="AO204" s="384">
        <v>132</v>
      </c>
      <c r="AP204" s="384">
        <v>135</v>
      </c>
      <c r="AQ204" s="384">
        <v>138</v>
      </c>
      <c r="AR204" s="384">
        <v>142</v>
      </c>
      <c r="AS204" s="384">
        <v>146</v>
      </c>
      <c r="AT204" s="384">
        <v>150</v>
      </c>
      <c r="BE204" s="380">
        <v>78</v>
      </c>
      <c r="BF204" s="384">
        <v>100</v>
      </c>
      <c r="BG204" s="384">
        <v>100</v>
      </c>
      <c r="BH204" s="384">
        <v>100</v>
      </c>
      <c r="BI204" s="384">
        <v>100</v>
      </c>
      <c r="BJ204" s="384">
        <v>103</v>
      </c>
      <c r="BK204" s="384">
        <v>106</v>
      </c>
      <c r="BL204" s="384">
        <v>109</v>
      </c>
      <c r="BM204" s="384">
        <v>112</v>
      </c>
      <c r="BN204" s="384">
        <v>118</v>
      </c>
      <c r="BO204" s="384">
        <v>122</v>
      </c>
      <c r="BP204" s="384">
        <v>128</v>
      </c>
      <c r="BQ204" s="384">
        <v>132</v>
      </c>
      <c r="BR204" s="384">
        <v>135</v>
      </c>
      <c r="BS204" s="384">
        <v>142</v>
      </c>
      <c r="BT204" s="384">
        <v>146</v>
      </c>
      <c r="BU204" s="384">
        <v>150</v>
      </c>
      <c r="BV204" s="384">
        <v>150</v>
      </c>
      <c r="CG204" s="380">
        <v>78</v>
      </c>
      <c r="CH204" s="384">
        <v>100</v>
      </c>
      <c r="CI204" s="384">
        <v>100</v>
      </c>
      <c r="CJ204" s="384">
        <v>100</v>
      </c>
      <c r="CK204" s="384">
        <v>103</v>
      </c>
      <c r="CL204" s="384">
        <v>106</v>
      </c>
      <c r="CM204" s="384">
        <v>109</v>
      </c>
      <c r="CN204" s="384">
        <v>109</v>
      </c>
      <c r="CO204" s="384">
        <v>112</v>
      </c>
      <c r="CP204" s="384">
        <v>118</v>
      </c>
      <c r="CQ204" s="384">
        <v>122</v>
      </c>
      <c r="CR204" s="384">
        <v>128</v>
      </c>
      <c r="CS204" s="384">
        <v>132</v>
      </c>
      <c r="CT204" s="384">
        <v>135</v>
      </c>
      <c r="CU204" s="384">
        <v>142</v>
      </c>
      <c r="CV204" s="384">
        <v>146</v>
      </c>
      <c r="CW204" s="384">
        <v>150</v>
      </c>
      <c r="CX204" s="384">
        <v>150</v>
      </c>
      <c r="DI204" s="380">
        <v>78</v>
      </c>
      <c r="DJ204" s="384">
        <v>100</v>
      </c>
      <c r="DK204" s="384">
        <v>100</v>
      </c>
      <c r="DL204" s="384">
        <v>100</v>
      </c>
      <c r="DM204" s="384">
        <v>103</v>
      </c>
      <c r="DN204" s="384">
        <v>106</v>
      </c>
      <c r="DO204" s="384">
        <v>109</v>
      </c>
      <c r="DP204" s="384">
        <v>112</v>
      </c>
      <c r="DQ204" s="384">
        <v>115</v>
      </c>
      <c r="DR204" s="384">
        <v>125</v>
      </c>
      <c r="DS204" s="384">
        <v>128</v>
      </c>
      <c r="DT204" s="384">
        <v>135</v>
      </c>
      <c r="DU204" s="384">
        <v>138</v>
      </c>
      <c r="DV204" s="384">
        <v>142</v>
      </c>
      <c r="DW204" s="384">
        <v>146</v>
      </c>
      <c r="DX204" s="384">
        <v>146</v>
      </c>
      <c r="DY204" s="384">
        <v>150</v>
      </c>
      <c r="DZ204" s="384">
        <v>154</v>
      </c>
    </row>
    <row r="205" spans="1:130" x14ac:dyDescent="0.15">
      <c r="A205" s="390">
        <v>79</v>
      </c>
      <c r="B205" s="391">
        <v>100</v>
      </c>
      <c r="C205" s="391">
        <v>100</v>
      </c>
      <c r="D205" s="391">
        <v>100</v>
      </c>
      <c r="E205" s="391">
        <v>100</v>
      </c>
      <c r="F205" s="391">
        <v>100</v>
      </c>
      <c r="G205" s="391">
        <v>103</v>
      </c>
      <c r="H205" s="391">
        <v>106</v>
      </c>
      <c r="I205" s="391">
        <v>112</v>
      </c>
      <c r="J205" s="391">
        <v>115</v>
      </c>
      <c r="K205" s="391">
        <v>122</v>
      </c>
      <c r="L205" s="391">
        <v>125</v>
      </c>
      <c r="M205" s="391">
        <v>132</v>
      </c>
      <c r="N205" s="391">
        <v>135</v>
      </c>
      <c r="O205" s="391">
        <v>138</v>
      </c>
      <c r="P205" s="391">
        <v>142</v>
      </c>
      <c r="Q205" s="391">
        <v>146</v>
      </c>
      <c r="R205" s="391">
        <v>150</v>
      </c>
      <c r="AC205" s="380">
        <v>79</v>
      </c>
      <c r="AD205" s="384">
        <v>100</v>
      </c>
      <c r="AE205" s="384">
        <v>100</v>
      </c>
      <c r="AF205" s="384">
        <v>100</v>
      </c>
      <c r="AG205" s="384">
        <v>100</v>
      </c>
      <c r="AH205" s="384">
        <v>103</v>
      </c>
      <c r="AI205" s="384">
        <v>106</v>
      </c>
      <c r="AJ205" s="384">
        <v>109</v>
      </c>
      <c r="AK205" s="384">
        <v>112</v>
      </c>
      <c r="AL205" s="384">
        <v>115</v>
      </c>
      <c r="AM205" s="384">
        <v>122</v>
      </c>
      <c r="AN205" s="384">
        <v>128</v>
      </c>
      <c r="AO205" s="384">
        <v>132</v>
      </c>
      <c r="AP205" s="384">
        <v>135</v>
      </c>
      <c r="AQ205" s="384">
        <v>138</v>
      </c>
      <c r="AR205" s="384">
        <v>142</v>
      </c>
      <c r="AS205" s="384">
        <v>146</v>
      </c>
      <c r="AT205" s="384">
        <v>150</v>
      </c>
      <c r="BE205" s="380">
        <v>79</v>
      </c>
      <c r="BF205" s="384">
        <v>100</v>
      </c>
      <c r="BG205" s="384">
        <v>100</v>
      </c>
      <c r="BH205" s="384">
        <v>100</v>
      </c>
      <c r="BI205" s="384">
        <v>100</v>
      </c>
      <c r="BJ205" s="384">
        <v>103</v>
      </c>
      <c r="BK205" s="384">
        <v>106</v>
      </c>
      <c r="BL205" s="384">
        <v>109</v>
      </c>
      <c r="BM205" s="384">
        <v>112</v>
      </c>
      <c r="BN205" s="384">
        <v>118</v>
      </c>
      <c r="BO205" s="384">
        <v>122</v>
      </c>
      <c r="BP205" s="384">
        <v>128</v>
      </c>
      <c r="BQ205" s="384">
        <v>132</v>
      </c>
      <c r="BR205" s="384">
        <v>135</v>
      </c>
      <c r="BS205" s="384">
        <v>142</v>
      </c>
      <c r="BT205" s="384">
        <v>146</v>
      </c>
      <c r="BU205" s="384">
        <v>150</v>
      </c>
      <c r="BV205" s="384">
        <v>150</v>
      </c>
      <c r="CG205" s="380">
        <v>79</v>
      </c>
      <c r="CH205" s="384">
        <v>100</v>
      </c>
      <c r="CI205" s="384">
        <v>100</v>
      </c>
      <c r="CJ205" s="384">
        <v>100</v>
      </c>
      <c r="CK205" s="384">
        <v>103</v>
      </c>
      <c r="CL205" s="384">
        <v>106</v>
      </c>
      <c r="CM205" s="384">
        <v>109</v>
      </c>
      <c r="CN205" s="384">
        <v>109</v>
      </c>
      <c r="CO205" s="384">
        <v>112</v>
      </c>
      <c r="CP205" s="384">
        <v>118</v>
      </c>
      <c r="CQ205" s="384">
        <v>122</v>
      </c>
      <c r="CR205" s="384">
        <v>128</v>
      </c>
      <c r="CS205" s="384">
        <v>132</v>
      </c>
      <c r="CT205" s="384">
        <v>135</v>
      </c>
      <c r="CU205" s="384">
        <v>142</v>
      </c>
      <c r="CV205" s="384">
        <v>146</v>
      </c>
      <c r="CW205" s="384">
        <v>150</v>
      </c>
      <c r="CX205" s="384">
        <v>150</v>
      </c>
      <c r="DI205" s="380">
        <v>79</v>
      </c>
      <c r="DJ205" s="384">
        <v>100</v>
      </c>
      <c r="DK205" s="384">
        <v>100</v>
      </c>
      <c r="DL205" s="384">
        <v>100</v>
      </c>
      <c r="DM205" s="384">
        <v>103</v>
      </c>
      <c r="DN205" s="384">
        <v>106</v>
      </c>
      <c r="DO205" s="384">
        <v>109</v>
      </c>
      <c r="DP205" s="384">
        <v>112</v>
      </c>
      <c r="DQ205" s="384">
        <v>115</v>
      </c>
      <c r="DR205" s="384">
        <v>125</v>
      </c>
      <c r="DS205" s="384">
        <v>128</v>
      </c>
      <c r="DT205" s="384">
        <v>135</v>
      </c>
      <c r="DU205" s="384">
        <v>138</v>
      </c>
      <c r="DV205" s="384">
        <v>142</v>
      </c>
      <c r="DW205" s="384">
        <v>146</v>
      </c>
      <c r="DX205" s="384">
        <v>146</v>
      </c>
      <c r="DY205" s="384">
        <v>150</v>
      </c>
      <c r="DZ205" s="384">
        <v>154</v>
      </c>
    </row>
    <row r="206" spans="1:130" x14ac:dyDescent="0.15">
      <c r="A206" s="390">
        <v>80</v>
      </c>
      <c r="B206" s="391">
        <v>100</v>
      </c>
      <c r="C206" s="391">
        <v>100</v>
      </c>
      <c r="D206" s="391">
        <v>100</v>
      </c>
      <c r="E206" s="391">
        <v>100</v>
      </c>
      <c r="F206" s="391">
        <v>100</v>
      </c>
      <c r="G206" s="391">
        <v>103</v>
      </c>
      <c r="H206" s="391">
        <v>106</v>
      </c>
      <c r="I206" s="391">
        <v>112</v>
      </c>
      <c r="J206" s="391">
        <v>115</v>
      </c>
      <c r="K206" s="391">
        <v>122</v>
      </c>
      <c r="L206" s="391">
        <v>125</v>
      </c>
      <c r="M206" s="391">
        <v>132</v>
      </c>
      <c r="N206" s="391">
        <v>135</v>
      </c>
      <c r="O206" s="391">
        <v>138</v>
      </c>
      <c r="P206" s="391">
        <v>142</v>
      </c>
      <c r="Q206" s="391">
        <v>146</v>
      </c>
      <c r="R206" s="391">
        <v>150</v>
      </c>
      <c r="AC206" s="380">
        <v>80</v>
      </c>
      <c r="AD206" s="384">
        <v>100</v>
      </c>
      <c r="AE206" s="384">
        <v>100</v>
      </c>
      <c r="AF206" s="384">
        <v>100</v>
      </c>
      <c r="AG206" s="384">
        <v>100</v>
      </c>
      <c r="AH206" s="384">
        <v>103</v>
      </c>
      <c r="AI206" s="384">
        <v>106</v>
      </c>
      <c r="AJ206" s="384">
        <v>109</v>
      </c>
      <c r="AK206" s="384">
        <v>112</v>
      </c>
      <c r="AL206" s="384">
        <v>115</v>
      </c>
      <c r="AM206" s="384">
        <v>122</v>
      </c>
      <c r="AN206" s="384">
        <v>128</v>
      </c>
      <c r="AO206" s="384">
        <v>132</v>
      </c>
      <c r="AP206" s="384">
        <v>135</v>
      </c>
      <c r="AQ206" s="384">
        <v>138</v>
      </c>
      <c r="AR206" s="384">
        <v>142</v>
      </c>
      <c r="AS206" s="384">
        <v>146</v>
      </c>
      <c r="AT206" s="384">
        <v>150</v>
      </c>
      <c r="BE206" s="380">
        <v>80</v>
      </c>
      <c r="BF206" s="384">
        <v>100</v>
      </c>
      <c r="BG206" s="384">
        <v>100</v>
      </c>
      <c r="BH206" s="384">
        <v>100</v>
      </c>
      <c r="BI206" s="384">
        <v>100</v>
      </c>
      <c r="BJ206" s="384">
        <v>103</v>
      </c>
      <c r="BK206" s="384">
        <v>106</v>
      </c>
      <c r="BL206" s="384">
        <v>109</v>
      </c>
      <c r="BM206" s="384">
        <v>112</v>
      </c>
      <c r="BN206" s="384">
        <v>118</v>
      </c>
      <c r="BO206" s="384">
        <v>122</v>
      </c>
      <c r="BP206" s="384">
        <v>128</v>
      </c>
      <c r="BQ206" s="384">
        <v>132</v>
      </c>
      <c r="BR206" s="384">
        <v>135</v>
      </c>
      <c r="BS206" s="384">
        <v>142</v>
      </c>
      <c r="BT206" s="384">
        <v>146</v>
      </c>
      <c r="BU206" s="384">
        <v>150</v>
      </c>
      <c r="BV206" s="384">
        <v>150</v>
      </c>
      <c r="CG206" s="380">
        <v>80</v>
      </c>
      <c r="CH206" s="384">
        <v>100</v>
      </c>
      <c r="CI206" s="384">
        <v>100</v>
      </c>
      <c r="CJ206" s="384">
        <v>100</v>
      </c>
      <c r="CK206" s="384">
        <v>103</v>
      </c>
      <c r="CL206" s="384">
        <v>106</v>
      </c>
      <c r="CM206" s="384">
        <v>109</v>
      </c>
      <c r="CN206" s="384">
        <v>109</v>
      </c>
      <c r="CO206" s="384">
        <v>112</v>
      </c>
      <c r="CP206" s="384">
        <v>118</v>
      </c>
      <c r="CQ206" s="384">
        <v>122</v>
      </c>
      <c r="CR206" s="384">
        <v>128</v>
      </c>
      <c r="CS206" s="384">
        <v>132</v>
      </c>
      <c r="CT206" s="384">
        <v>135</v>
      </c>
      <c r="CU206" s="384">
        <v>142</v>
      </c>
      <c r="CV206" s="384">
        <v>146</v>
      </c>
      <c r="CW206" s="384">
        <v>150</v>
      </c>
      <c r="CX206" s="384">
        <v>150</v>
      </c>
      <c r="DI206" s="380">
        <v>80</v>
      </c>
      <c r="DJ206" s="384">
        <v>100</v>
      </c>
      <c r="DK206" s="384">
        <v>100</v>
      </c>
      <c r="DL206" s="384">
        <v>100</v>
      </c>
      <c r="DM206" s="384">
        <v>103</v>
      </c>
      <c r="DN206" s="384">
        <v>106</v>
      </c>
      <c r="DO206" s="384">
        <v>109</v>
      </c>
      <c r="DP206" s="384">
        <v>112</v>
      </c>
      <c r="DQ206" s="384">
        <v>115</v>
      </c>
      <c r="DR206" s="384">
        <v>125</v>
      </c>
      <c r="DS206" s="384">
        <v>128</v>
      </c>
      <c r="DT206" s="384">
        <v>135</v>
      </c>
      <c r="DU206" s="384">
        <v>138</v>
      </c>
      <c r="DV206" s="384">
        <v>142</v>
      </c>
      <c r="DW206" s="384">
        <v>146</v>
      </c>
      <c r="DX206" s="384">
        <v>146</v>
      </c>
      <c r="DY206" s="384">
        <v>150</v>
      </c>
      <c r="DZ206" s="384">
        <v>154</v>
      </c>
    </row>
    <row r="207" spans="1:130" x14ac:dyDescent="0.15">
      <c r="A207" s="390">
        <v>81</v>
      </c>
      <c r="B207" s="391">
        <v>100</v>
      </c>
      <c r="C207" s="391">
        <v>100</v>
      </c>
      <c r="D207" s="391">
        <v>100</v>
      </c>
      <c r="E207" s="391">
        <v>100</v>
      </c>
      <c r="F207" s="391">
        <v>100</v>
      </c>
      <c r="G207" s="391">
        <v>103</v>
      </c>
      <c r="H207" s="391">
        <v>106</v>
      </c>
      <c r="I207" s="391">
        <v>112</v>
      </c>
      <c r="J207" s="391">
        <v>115</v>
      </c>
      <c r="K207" s="391">
        <v>122</v>
      </c>
      <c r="L207" s="391">
        <v>125</v>
      </c>
      <c r="M207" s="391">
        <v>132</v>
      </c>
      <c r="N207" s="391">
        <v>135</v>
      </c>
      <c r="O207" s="391">
        <v>138</v>
      </c>
      <c r="P207" s="391">
        <v>142</v>
      </c>
      <c r="Q207" s="391">
        <v>146</v>
      </c>
      <c r="R207" s="391">
        <v>150</v>
      </c>
      <c r="AC207" s="380">
        <v>81</v>
      </c>
      <c r="AD207" s="384">
        <v>100</v>
      </c>
      <c r="AE207" s="384">
        <v>100</v>
      </c>
      <c r="AF207" s="384">
        <v>100</v>
      </c>
      <c r="AG207" s="384">
        <v>100</v>
      </c>
      <c r="AH207" s="384">
        <v>103</v>
      </c>
      <c r="AI207" s="384">
        <v>106</v>
      </c>
      <c r="AJ207" s="384">
        <v>109</v>
      </c>
      <c r="AK207" s="384">
        <v>112</v>
      </c>
      <c r="AL207" s="384">
        <v>115</v>
      </c>
      <c r="AM207" s="384">
        <v>122</v>
      </c>
      <c r="AN207" s="384">
        <v>128</v>
      </c>
      <c r="AO207" s="384">
        <v>132</v>
      </c>
      <c r="AP207" s="384">
        <v>135</v>
      </c>
      <c r="AQ207" s="384">
        <v>138</v>
      </c>
      <c r="AR207" s="384">
        <v>142</v>
      </c>
      <c r="AS207" s="384">
        <v>146</v>
      </c>
      <c r="AT207" s="384">
        <v>150</v>
      </c>
      <c r="BE207" s="380">
        <v>81</v>
      </c>
      <c r="BF207" s="384">
        <v>100</v>
      </c>
      <c r="BG207" s="384">
        <v>100</v>
      </c>
      <c r="BH207" s="384">
        <v>100</v>
      </c>
      <c r="BI207" s="384">
        <v>100</v>
      </c>
      <c r="BJ207" s="384">
        <v>103</v>
      </c>
      <c r="BK207" s="384">
        <v>106</v>
      </c>
      <c r="BL207" s="384">
        <v>109</v>
      </c>
      <c r="BM207" s="384">
        <v>112</v>
      </c>
      <c r="BN207" s="384">
        <v>118</v>
      </c>
      <c r="BO207" s="384">
        <v>122</v>
      </c>
      <c r="BP207" s="384">
        <v>128</v>
      </c>
      <c r="BQ207" s="384">
        <v>132</v>
      </c>
      <c r="BR207" s="384">
        <v>135</v>
      </c>
      <c r="BS207" s="384">
        <v>142</v>
      </c>
      <c r="BT207" s="384">
        <v>146</v>
      </c>
      <c r="BU207" s="384">
        <v>150</v>
      </c>
      <c r="BV207" s="384">
        <v>150</v>
      </c>
      <c r="CG207" s="380">
        <v>81</v>
      </c>
      <c r="CH207" s="384">
        <v>100</v>
      </c>
      <c r="CI207" s="384">
        <v>100</v>
      </c>
      <c r="CJ207" s="384">
        <v>100</v>
      </c>
      <c r="CK207" s="384">
        <v>103</v>
      </c>
      <c r="CL207" s="384">
        <v>106</v>
      </c>
      <c r="CM207" s="384">
        <v>109</v>
      </c>
      <c r="CN207" s="384">
        <v>109</v>
      </c>
      <c r="CO207" s="384">
        <v>112</v>
      </c>
      <c r="CP207" s="384">
        <v>118</v>
      </c>
      <c r="CQ207" s="384">
        <v>122</v>
      </c>
      <c r="CR207" s="384">
        <v>128</v>
      </c>
      <c r="CS207" s="384">
        <v>132</v>
      </c>
      <c r="CT207" s="384">
        <v>135</v>
      </c>
      <c r="CU207" s="384">
        <v>142</v>
      </c>
      <c r="CV207" s="384">
        <v>146</v>
      </c>
      <c r="CW207" s="384">
        <v>150</v>
      </c>
      <c r="CX207" s="384">
        <v>150</v>
      </c>
      <c r="DI207" s="380">
        <v>81</v>
      </c>
      <c r="DJ207" s="384">
        <v>100</v>
      </c>
      <c r="DK207" s="384">
        <v>100</v>
      </c>
      <c r="DL207" s="384">
        <v>100</v>
      </c>
      <c r="DM207" s="384">
        <v>103</v>
      </c>
      <c r="DN207" s="384">
        <v>106</v>
      </c>
      <c r="DO207" s="384">
        <v>109</v>
      </c>
      <c r="DP207" s="384">
        <v>112</v>
      </c>
      <c r="DQ207" s="384">
        <v>115</v>
      </c>
      <c r="DR207" s="384">
        <v>125</v>
      </c>
      <c r="DS207" s="384">
        <v>128</v>
      </c>
      <c r="DT207" s="384">
        <v>135</v>
      </c>
      <c r="DU207" s="384">
        <v>138</v>
      </c>
      <c r="DV207" s="384">
        <v>142</v>
      </c>
      <c r="DW207" s="384">
        <v>146</v>
      </c>
      <c r="DX207" s="384">
        <v>146</v>
      </c>
      <c r="DY207" s="384">
        <v>150</v>
      </c>
      <c r="DZ207" s="384">
        <v>154</v>
      </c>
    </row>
    <row r="208" spans="1:130" x14ac:dyDescent="0.15">
      <c r="A208" s="390">
        <v>82</v>
      </c>
      <c r="B208" s="391">
        <v>100</v>
      </c>
      <c r="C208" s="391">
        <v>100</v>
      </c>
      <c r="D208" s="391">
        <v>100</v>
      </c>
      <c r="E208" s="391">
        <v>100</v>
      </c>
      <c r="F208" s="391">
        <v>100</v>
      </c>
      <c r="G208" s="391">
        <v>103</v>
      </c>
      <c r="H208" s="391">
        <v>106</v>
      </c>
      <c r="I208" s="391">
        <v>112</v>
      </c>
      <c r="J208" s="391">
        <v>115</v>
      </c>
      <c r="K208" s="391">
        <v>122</v>
      </c>
      <c r="L208" s="391">
        <v>125</v>
      </c>
      <c r="M208" s="391">
        <v>132</v>
      </c>
      <c r="N208" s="391">
        <v>135</v>
      </c>
      <c r="O208" s="391">
        <v>138</v>
      </c>
      <c r="P208" s="391">
        <v>142</v>
      </c>
      <c r="Q208" s="391">
        <v>146</v>
      </c>
      <c r="R208" s="391">
        <v>150</v>
      </c>
      <c r="AC208" s="380">
        <v>82</v>
      </c>
      <c r="AD208" s="384">
        <v>100</v>
      </c>
      <c r="AE208" s="384">
        <v>100</v>
      </c>
      <c r="AF208" s="384">
        <v>100</v>
      </c>
      <c r="AG208" s="384">
        <v>100</v>
      </c>
      <c r="AH208" s="384">
        <v>103</v>
      </c>
      <c r="AI208" s="384">
        <v>106</v>
      </c>
      <c r="AJ208" s="384">
        <v>109</v>
      </c>
      <c r="AK208" s="384">
        <v>112</v>
      </c>
      <c r="AL208" s="384">
        <v>115</v>
      </c>
      <c r="AM208" s="384">
        <v>122</v>
      </c>
      <c r="AN208" s="384">
        <v>128</v>
      </c>
      <c r="AO208" s="384">
        <v>132</v>
      </c>
      <c r="AP208" s="384">
        <v>135</v>
      </c>
      <c r="AQ208" s="384">
        <v>138</v>
      </c>
      <c r="AR208" s="384">
        <v>142</v>
      </c>
      <c r="AS208" s="384">
        <v>146</v>
      </c>
      <c r="AT208" s="384">
        <v>150</v>
      </c>
      <c r="BE208" s="380">
        <v>82</v>
      </c>
      <c r="BF208" s="384">
        <v>100</v>
      </c>
      <c r="BG208" s="384">
        <v>100</v>
      </c>
      <c r="BH208" s="384">
        <v>100</v>
      </c>
      <c r="BI208" s="384">
        <v>100</v>
      </c>
      <c r="BJ208" s="384">
        <v>103</v>
      </c>
      <c r="BK208" s="384">
        <v>106</v>
      </c>
      <c r="BL208" s="384">
        <v>109</v>
      </c>
      <c r="BM208" s="384">
        <v>112</v>
      </c>
      <c r="BN208" s="384">
        <v>118</v>
      </c>
      <c r="BO208" s="384">
        <v>122</v>
      </c>
      <c r="BP208" s="384">
        <v>128</v>
      </c>
      <c r="BQ208" s="384">
        <v>132</v>
      </c>
      <c r="BR208" s="384">
        <v>135</v>
      </c>
      <c r="BS208" s="384">
        <v>142</v>
      </c>
      <c r="BT208" s="384">
        <v>146</v>
      </c>
      <c r="BU208" s="384">
        <v>150</v>
      </c>
      <c r="BV208" s="384">
        <v>150</v>
      </c>
      <c r="CG208" s="380">
        <v>82</v>
      </c>
      <c r="CH208" s="384">
        <v>100</v>
      </c>
      <c r="CI208" s="384">
        <v>100</v>
      </c>
      <c r="CJ208" s="384">
        <v>100</v>
      </c>
      <c r="CK208" s="384">
        <v>103</v>
      </c>
      <c r="CL208" s="384">
        <v>106</v>
      </c>
      <c r="CM208" s="384">
        <v>109</v>
      </c>
      <c r="CN208" s="384">
        <v>109</v>
      </c>
      <c r="CO208" s="384">
        <v>112</v>
      </c>
      <c r="CP208" s="384">
        <v>118</v>
      </c>
      <c r="CQ208" s="384">
        <v>122</v>
      </c>
      <c r="CR208" s="384">
        <v>128</v>
      </c>
      <c r="CS208" s="384">
        <v>132</v>
      </c>
      <c r="CT208" s="384">
        <v>135</v>
      </c>
      <c r="CU208" s="384">
        <v>142</v>
      </c>
      <c r="CV208" s="384">
        <v>146</v>
      </c>
      <c r="CW208" s="384">
        <v>150</v>
      </c>
      <c r="CX208" s="384">
        <v>150</v>
      </c>
      <c r="DI208" s="380">
        <v>82</v>
      </c>
      <c r="DJ208" s="384">
        <v>100</v>
      </c>
      <c r="DK208" s="384">
        <v>100</v>
      </c>
      <c r="DL208" s="384">
        <v>100</v>
      </c>
      <c r="DM208" s="384">
        <v>103</v>
      </c>
      <c r="DN208" s="384">
        <v>106</v>
      </c>
      <c r="DO208" s="384">
        <v>109</v>
      </c>
      <c r="DP208" s="384">
        <v>112</v>
      </c>
      <c r="DQ208" s="384">
        <v>115</v>
      </c>
      <c r="DR208" s="384">
        <v>125</v>
      </c>
      <c r="DS208" s="384">
        <v>128</v>
      </c>
      <c r="DT208" s="384">
        <v>135</v>
      </c>
      <c r="DU208" s="384">
        <v>138</v>
      </c>
      <c r="DV208" s="384">
        <v>142</v>
      </c>
      <c r="DW208" s="384">
        <v>146</v>
      </c>
      <c r="DX208" s="384">
        <v>146</v>
      </c>
      <c r="DY208" s="384">
        <v>150</v>
      </c>
      <c r="DZ208" s="384">
        <v>154</v>
      </c>
    </row>
    <row r="209" spans="1:134" x14ac:dyDescent="0.15">
      <c r="A209" s="390">
        <v>83</v>
      </c>
      <c r="B209" s="391">
        <v>100</v>
      </c>
      <c r="C209" s="391">
        <v>100</v>
      </c>
      <c r="D209" s="391">
        <v>100</v>
      </c>
      <c r="E209" s="391">
        <v>100</v>
      </c>
      <c r="F209" s="391">
        <v>100</v>
      </c>
      <c r="G209" s="391">
        <v>103</v>
      </c>
      <c r="H209" s="391">
        <v>106</v>
      </c>
      <c r="I209" s="391">
        <v>112</v>
      </c>
      <c r="J209" s="391">
        <v>115</v>
      </c>
      <c r="K209" s="391">
        <v>122</v>
      </c>
      <c r="L209" s="391">
        <v>125</v>
      </c>
      <c r="M209" s="391">
        <v>132</v>
      </c>
      <c r="N209" s="391">
        <v>135</v>
      </c>
      <c r="O209" s="391">
        <v>138</v>
      </c>
      <c r="P209" s="391">
        <v>142</v>
      </c>
      <c r="Q209" s="391">
        <v>146</v>
      </c>
      <c r="R209" s="391">
        <v>150</v>
      </c>
      <c r="AC209" s="380">
        <v>83</v>
      </c>
      <c r="AD209" s="384">
        <v>100</v>
      </c>
      <c r="AE209" s="384">
        <v>100</v>
      </c>
      <c r="AF209" s="384">
        <v>100</v>
      </c>
      <c r="AG209" s="384">
        <v>100</v>
      </c>
      <c r="AH209" s="384">
        <v>103</v>
      </c>
      <c r="AI209" s="384">
        <v>106</v>
      </c>
      <c r="AJ209" s="384">
        <v>109</v>
      </c>
      <c r="AK209" s="384">
        <v>112</v>
      </c>
      <c r="AL209" s="384">
        <v>115</v>
      </c>
      <c r="AM209" s="384">
        <v>122</v>
      </c>
      <c r="AN209" s="384">
        <v>128</v>
      </c>
      <c r="AO209" s="384">
        <v>132</v>
      </c>
      <c r="AP209" s="384">
        <v>135</v>
      </c>
      <c r="AQ209" s="384">
        <v>138</v>
      </c>
      <c r="AR209" s="384">
        <v>142</v>
      </c>
      <c r="AS209" s="384">
        <v>146</v>
      </c>
      <c r="AT209" s="384">
        <v>150</v>
      </c>
      <c r="BE209" s="380">
        <v>83</v>
      </c>
      <c r="BF209" s="384">
        <v>100</v>
      </c>
      <c r="BG209" s="384">
        <v>100</v>
      </c>
      <c r="BH209" s="384">
        <v>100</v>
      </c>
      <c r="BI209" s="384">
        <v>100</v>
      </c>
      <c r="BJ209" s="384">
        <v>103</v>
      </c>
      <c r="BK209" s="384">
        <v>106</v>
      </c>
      <c r="BL209" s="384">
        <v>109</v>
      </c>
      <c r="BM209" s="384">
        <v>112</v>
      </c>
      <c r="BN209" s="384">
        <v>118</v>
      </c>
      <c r="BO209" s="384">
        <v>122</v>
      </c>
      <c r="BP209" s="384">
        <v>128</v>
      </c>
      <c r="BQ209" s="384">
        <v>132</v>
      </c>
      <c r="BR209" s="384">
        <v>135</v>
      </c>
      <c r="BS209" s="384">
        <v>142</v>
      </c>
      <c r="BT209" s="384">
        <v>146</v>
      </c>
      <c r="BU209" s="384">
        <v>150</v>
      </c>
      <c r="BV209" s="384">
        <v>150</v>
      </c>
      <c r="CG209" s="380">
        <v>83</v>
      </c>
      <c r="CH209" s="384">
        <v>100</v>
      </c>
      <c r="CI209" s="384">
        <v>100</v>
      </c>
      <c r="CJ209" s="384">
        <v>100</v>
      </c>
      <c r="CK209" s="384">
        <v>103</v>
      </c>
      <c r="CL209" s="384">
        <v>106</v>
      </c>
      <c r="CM209" s="384">
        <v>109</v>
      </c>
      <c r="CN209" s="384">
        <v>109</v>
      </c>
      <c r="CO209" s="384">
        <v>112</v>
      </c>
      <c r="CP209" s="384">
        <v>118</v>
      </c>
      <c r="CQ209" s="384">
        <v>122</v>
      </c>
      <c r="CR209" s="384">
        <v>128</v>
      </c>
      <c r="CS209" s="384">
        <v>132</v>
      </c>
      <c r="CT209" s="384">
        <v>135</v>
      </c>
      <c r="CU209" s="384">
        <v>142</v>
      </c>
      <c r="CV209" s="384">
        <v>146</v>
      </c>
      <c r="CW209" s="384">
        <v>150</v>
      </c>
      <c r="CX209" s="384">
        <v>150</v>
      </c>
      <c r="DI209" s="380">
        <v>83</v>
      </c>
      <c r="DJ209" s="384">
        <v>100</v>
      </c>
      <c r="DK209" s="384">
        <v>100</v>
      </c>
      <c r="DL209" s="384">
        <v>100</v>
      </c>
      <c r="DM209" s="384">
        <v>103</v>
      </c>
      <c r="DN209" s="384">
        <v>106</v>
      </c>
      <c r="DO209" s="384">
        <v>109</v>
      </c>
      <c r="DP209" s="384">
        <v>112</v>
      </c>
      <c r="DQ209" s="384">
        <v>115</v>
      </c>
      <c r="DR209" s="384">
        <v>125</v>
      </c>
      <c r="DS209" s="384">
        <v>128</v>
      </c>
      <c r="DT209" s="384">
        <v>135</v>
      </c>
      <c r="DU209" s="384">
        <v>138</v>
      </c>
      <c r="DV209" s="384">
        <v>142</v>
      </c>
      <c r="DW209" s="384">
        <v>146</v>
      </c>
      <c r="DX209" s="384">
        <v>146</v>
      </c>
      <c r="DY209" s="384">
        <v>150</v>
      </c>
      <c r="DZ209" s="384">
        <v>154</v>
      </c>
    </row>
    <row r="210" spans="1:134" x14ac:dyDescent="0.15">
      <c r="A210" s="390">
        <v>84</v>
      </c>
      <c r="B210" s="391">
        <v>100</v>
      </c>
      <c r="C210" s="391">
        <v>100</v>
      </c>
      <c r="D210" s="391">
        <v>100</v>
      </c>
      <c r="E210" s="391">
        <v>100</v>
      </c>
      <c r="F210" s="391">
        <v>100</v>
      </c>
      <c r="G210" s="391">
        <v>103</v>
      </c>
      <c r="H210" s="391">
        <v>106</v>
      </c>
      <c r="I210" s="391">
        <v>112</v>
      </c>
      <c r="J210" s="391">
        <v>115</v>
      </c>
      <c r="K210" s="391">
        <v>122</v>
      </c>
      <c r="L210" s="391">
        <v>125</v>
      </c>
      <c r="M210" s="391">
        <v>132</v>
      </c>
      <c r="N210" s="391">
        <v>135</v>
      </c>
      <c r="O210" s="391">
        <v>138</v>
      </c>
      <c r="P210" s="391">
        <v>142</v>
      </c>
      <c r="Q210" s="391">
        <v>146</v>
      </c>
      <c r="R210" s="391">
        <v>150</v>
      </c>
      <c r="AC210" s="380">
        <v>84</v>
      </c>
      <c r="AD210" s="384">
        <v>100</v>
      </c>
      <c r="AE210" s="384">
        <v>100</v>
      </c>
      <c r="AF210" s="384">
        <v>100</v>
      </c>
      <c r="AG210" s="384">
        <v>100</v>
      </c>
      <c r="AH210" s="384">
        <v>103</v>
      </c>
      <c r="AI210" s="384">
        <v>106</v>
      </c>
      <c r="AJ210" s="384">
        <v>109</v>
      </c>
      <c r="AK210" s="384">
        <v>112</v>
      </c>
      <c r="AL210" s="384">
        <v>115</v>
      </c>
      <c r="AM210" s="384">
        <v>122</v>
      </c>
      <c r="AN210" s="384">
        <v>128</v>
      </c>
      <c r="AO210" s="384">
        <v>132</v>
      </c>
      <c r="AP210" s="384">
        <v>135</v>
      </c>
      <c r="AQ210" s="384">
        <v>138</v>
      </c>
      <c r="AR210" s="384">
        <v>142</v>
      </c>
      <c r="AS210" s="384">
        <v>146</v>
      </c>
      <c r="AT210" s="384">
        <v>150</v>
      </c>
      <c r="BE210" s="380">
        <v>84</v>
      </c>
      <c r="BF210" s="384">
        <v>100</v>
      </c>
      <c r="BG210" s="384">
        <v>100</v>
      </c>
      <c r="BH210" s="384">
        <v>100</v>
      </c>
      <c r="BI210" s="384">
        <v>100</v>
      </c>
      <c r="BJ210" s="384">
        <v>103</v>
      </c>
      <c r="BK210" s="384">
        <v>106</v>
      </c>
      <c r="BL210" s="384">
        <v>109</v>
      </c>
      <c r="BM210" s="384">
        <v>112</v>
      </c>
      <c r="BN210" s="384">
        <v>118</v>
      </c>
      <c r="BO210" s="384">
        <v>122</v>
      </c>
      <c r="BP210" s="384">
        <v>128</v>
      </c>
      <c r="BQ210" s="384">
        <v>132</v>
      </c>
      <c r="BR210" s="384">
        <v>135</v>
      </c>
      <c r="BS210" s="384">
        <v>142</v>
      </c>
      <c r="BT210" s="384">
        <v>146</v>
      </c>
      <c r="BU210" s="384">
        <v>150</v>
      </c>
      <c r="BV210" s="384">
        <v>150</v>
      </c>
      <c r="CG210" s="380">
        <v>84</v>
      </c>
      <c r="CH210" s="384">
        <v>100</v>
      </c>
      <c r="CI210" s="384">
        <v>100</v>
      </c>
      <c r="CJ210" s="384">
        <v>100</v>
      </c>
      <c r="CK210" s="384">
        <v>103</v>
      </c>
      <c r="CL210" s="384">
        <v>106</v>
      </c>
      <c r="CM210" s="384">
        <v>109</v>
      </c>
      <c r="CN210" s="384">
        <v>109</v>
      </c>
      <c r="CO210" s="384">
        <v>112</v>
      </c>
      <c r="CP210" s="384">
        <v>118</v>
      </c>
      <c r="CQ210" s="384">
        <v>122</v>
      </c>
      <c r="CR210" s="384">
        <v>128</v>
      </c>
      <c r="CS210" s="384">
        <v>132</v>
      </c>
      <c r="CT210" s="384">
        <v>135</v>
      </c>
      <c r="CU210" s="384">
        <v>142</v>
      </c>
      <c r="CV210" s="384">
        <v>146</v>
      </c>
      <c r="CW210" s="384">
        <v>150</v>
      </c>
      <c r="CX210" s="384">
        <v>150</v>
      </c>
      <c r="DI210" s="380">
        <v>84</v>
      </c>
      <c r="DJ210" s="384">
        <v>100</v>
      </c>
      <c r="DK210" s="384">
        <v>100</v>
      </c>
      <c r="DL210" s="384">
        <v>100</v>
      </c>
      <c r="DM210" s="384">
        <v>103</v>
      </c>
      <c r="DN210" s="384">
        <v>106</v>
      </c>
      <c r="DO210" s="384">
        <v>109</v>
      </c>
      <c r="DP210" s="384">
        <v>112</v>
      </c>
      <c r="DQ210" s="384">
        <v>115</v>
      </c>
      <c r="DR210" s="384">
        <v>125</v>
      </c>
      <c r="DS210" s="384">
        <v>128</v>
      </c>
      <c r="DT210" s="384">
        <v>135</v>
      </c>
      <c r="DU210" s="384">
        <v>138</v>
      </c>
      <c r="DV210" s="384">
        <v>142</v>
      </c>
      <c r="DW210" s="384">
        <v>146</v>
      </c>
      <c r="DX210" s="384">
        <v>146</v>
      </c>
      <c r="DY210" s="384">
        <v>150</v>
      </c>
      <c r="DZ210" s="384">
        <v>154</v>
      </c>
    </row>
    <row r="211" spans="1:134" x14ac:dyDescent="0.15">
      <c r="A211" s="390">
        <v>85</v>
      </c>
      <c r="B211" s="391">
        <v>100</v>
      </c>
      <c r="C211" s="391">
        <v>100</v>
      </c>
      <c r="D211" s="391">
        <v>100</v>
      </c>
      <c r="E211" s="391">
        <v>100</v>
      </c>
      <c r="F211" s="391">
        <v>100</v>
      </c>
      <c r="G211" s="391">
        <v>103</v>
      </c>
      <c r="H211" s="391">
        <v>106</v>
      </c>
      <c r="I211" s="391">
        <v>112</v>
      </c>
      <c r="J211" s="391">
        <v>115</v>
      </c>
      <c r="K211" s="391">
        <v>122</v>
      </c>
      <c r="L211" s="391">
        <v>125</v>
      </c>
      <c r="M211" s="391">
        <v>132</v>
      </c>
      <c r="N211" s="391">
        <v>135</v>
      </c>
      <c r="O211" s="391">
        <v>138</v>
      </c>
      <c r="P211" s="391">
        <v>142</v>
      </c>
      <c r="Q211" s="391">
        <v>146</v>
      </c>
      <c r="R211" s="391">
        <v>150</v>
      </c>
      <c r="AC211" s="380">
        <v>85</v>
      </c>
      <c r="AD211" s="384">
        <v>100</v>
      </c>
      <c r="AE211" s="384">
        <v>100</v>
      </c>
      <c r="AF211" s="384">
        <v>100</v>
      </c>
      <c r="AG211" s="384">
        <v>100</v>
      </c>
      <c r="AH211" s="384">
        <v>103</v>
      </c>
      <c r="AI211" s="384">
        <v>106</v>
      </c>
      <c r="AJ211" s="384">
        <v>109</v>
      </c>
      <c r="AK211" s="384">
        <v>112</v>
      </c>
      <c r="AL211" s="384">
        <v>115</v>
      </c>
      <c r="AM211" s="384">
        <v>122</v>
      </c>
      <c r="AN211" s="384">
        <v>128</v>
      </c>
      <c r="AO211" s="384">
        <v>132</v>
      </c>
      <c r="AP211" s="384">
        <v>135</v>
      </c>
      <c r="AQ211" s="384">
        <v>138</v>
      </c>
      <c r="AR211" s="384">
        <v>142</v>
      </c>
      <c r="AS211" s="384">
        <v>146</v>
      </c>
      <c r="AT211" s="384">
        <v>150</v>
      </c>
      <c r="BE211" s="380">
        <v>85</v>
      </c>
      <c r="BF211" s="384">
        <v>100</v>
      </c>
      <c r="BG211" s="384">
        <v>100</v>
      </c>
      <c r="BH211" s="384">
        <v>100</v>
      </c>
      <c r="BI211" s="384">
        <v>100</v>
      </c>
      <c r="BJ211" s="384">
        <v>103</v>
      </c>
      <c r="BK211" s="384">
        <v>106</v>
      </c>
      <c r="BL211" s="384">
        <v>109</v>
      </c>
      <c r="BM211" s="384">
        <v>112</v>
      </c>
      <c r="BN211" s="384">
        <v>118</v>
      </c>
      <c r="BO211" s="384">
        <v>122</v>
      </c>
      <c r="BP211" s="384">
        <v>128</v>
      </c>
      <c r="BQ211" s="384">
        <v>132</v>
      </c>
      <c r="BR211" s="384">
        <v>135</v>
      </c>
      <c r="BS211" s="384">
        <v>142</v>
      </c>
      <c r="BT211" s="384">
        <v>146</v>
      </c>
      <c r="BU211" s="384">
        <v>150</v>
      </c>
      <c r="BV211" s="384">
        <v>150</v>
      </c>
      <c r="CG211" s="380">
        <v>85</v>
      </c>
      <c r="CH211" s="384">
        <v>100</v>
      </c>
      <c r="CI211" s="384">
        <v>100</v>
      </c>
      <c r="CJ211" s="384">
        <v>100</v>
      </c>
      <c r="CK211" s="384">
        <v>103</v>
      </c>
      <c r="CL211" s="384">
        <v>106</v>
      </c>
      <c r="CM211" s="384">
        <v>109</v>
      </c>
      <c r="CN211" s="384">
        <v>109</v>
      </c>
      <c r="CO211" s="384">
        <v>112</v>
      </c>
      <c r="CP211" s="384">
        <v>118</v>
      </c>
      <c r="CQ211" s="384">
        <v>122</v>
      </c>
      <c r="CR211" s="384">
        <v>128</v>
      </c>
      <c r="CS211" s="384">
        <v>132</v>
      </c>
      <c r="CT211" s="384">
        <v>135</v>
      </c>
      <c r="CU211" s="384">
        <v>142</v>
      </c>
      <c r="CV211" s="384">
        <v>146</v>
      </c>
      <c r="CW211" s="384">
        <v>150</v>
      </c>
      <c r="CX211" s="384">
        <v>150</v>
      </c>
      <c r="DI211" s="380">
        <v>85</v>
      </c>
      <c r="DJ211" s="384">
        <v>100</v>
      </c>
      <c r="DK211" s="384">
        <v>100</v>
      </c>
      <c r="DL211" s="384">
        <v>100</v>
      </c>
      <c r="DM211" s="384">
        <v>103</v>
      </c>
      <c r="DN211" s="384">
        <v>106</v>
      </c>
      <c r="DO211" s="384">
        <v>109</v>
      </c>
      <c r="DP211" s="384">
        <v>112</v>
      </c>
      <c r="DQ211" s="384">
        <v>115</v>
      </c>
      <c r="DR211" s="384">
        <v>125</v>
      </c>
      <c r="DS211" s="384">
        <v>128</v>
      </c>
      <c r="DT211" s="384">
        <v>135</v>
      </c>
      <c r="DU211" s="384">
        <v>138</v>
      </c>
      <c r="DV211" s="384">
        <v>142</v>
      </c>
      <c r="DW211" s="384">
        <v>146</v>
      </c>
      <c r="DX211" s="384">
        <v>146</v>
      </c>
      <c r="DY211" s="384">
        <v>150</v>
      </c>
      <c r="DZ211" s="384">
        <v>154</v>
      </c>
    </row>
    <row r="212" spans="1:134" x14ac:dyDescent="0.15">
      <c r="A212" s="390">
        <v>86</v>
      </c>
      <c r="B212" s="391">
        <v>100</v>
      </c>
      <c r="C212" s="391">
        <v>100</v>
      </c>
      <c r="D212" s="391">
        <v>100</v>
      </c>
      <c r="E212" s="391">
        <v>100</v>
      </c>
      <c r="F212" s="391">
        <v>100</v>
      </c>
      <c r="G212" s="391">
        <v>103</v>
      </c>
      <c r="H212" s="391">
        <v>106</v>
      </c>
      <c r="I212" s="391">
        <v>112</v>
      </c>
      <c r="J212" s="391">
        <v>115</v>
      </c>
      <c r="K212" s="391">
        <v>122</v>
      </c>
      <c r="L212" s="391">
        <v>125</v>
      </c>
      <c r="M212" s="391">
        <v>132</v>
      </c>
      <c r="N212" s="391">
        <v>135</v>
      </c>
      <c r="O212" s="391">
        <v>138</v>
      </c>
      <c r="P212" s="391">
        <v>142</v>
      </c>
      <c r="Q212" s="391">
        <v>146</v>
      </c>
      <c r="R212" s="391">
        <v>150</v>
      </c>
      <c r="AC212" s="380">
        <v>86</v>
      </c>
      <c r="AD212" s="384">
        <v>100</v>
      </c>
      <c r="AE212" s="384">
        <v>100</v>
      </c>
      <c r="AF212" s="384">
        <v>100</v>
      </c>
      <c r="AG212" s="384">
        <v>100</v>
      </c>
      <c r="AH212" s="384">
        <v>103</v>
      </c>
      <c r="AI212" s="384">
        <v>106</v>
      </c>
      <c r="AJ212" s="384">
        <v>109</v>
      </c>
      <c r="AK212" s="384">
        <v>112</v>
      </c>
      <c r="AL212" s="384">
        <v>115</v>
      </c>
      <c r="AM212" s="384">
        <v>122</v>
      </c>
      <c r="AN212" s="384">
        <v>128</v>
      </c>
      <c r="AO212" s="384">
        <v>132</v>
      </c>
      <c r="AP212" s="384">
        <v>135</v>
      </c>
      <c r="AQ212" s="384">
        <v>138</v>
      </c>
      <c r="AR212" s="384">
        <v>142</v>
      </c>
      <c r="AS212" s="384">
        <v>146</v>
      </c>
      <c r="AT212" s="384">
        <v>150</v>
      </c>
      <c r="BE212" s="380">
        <v>86</v>
      </c>
      <c r="BF212" s="384">
        <v>100</v>
      </c>
      <c r="BG212" s="384">
        <v>100</v>
      </c>
      <c r="BH212" s="384">
        <v>100</v>
      </c>
      <c r="BI212" s="384">
        <v>100</v>
      </c>
      <c r="BJ212" s="384">
        <v>103</v>
      </c>
      <c r="BK212" s="384">
        <v>106</v>
      </c>
      <c r="BL212" s="384">
        <v>109</v>
      </c>
      <c r="BM212" s="384">
        <v>112</v>
      </c>
      <c r="BN212" s="384">
        <v>118</v>
      </c>
      <c r="BO212" s="384">
        <v>122</v>
      </c>
      <c r="BP212" s="384">
        <v>128</v>
      </c>
      <c r="BQ212" s="384">
        <v>132</v>
      </c>
      <c r="BR212" s="384">
        <v>135</v>
      </c>
      <c r="BS212" s="384">
        <v>142</v>
      </c>
      <c r="BT212" s="384">
        <v>146</v>
      </c>
      <c r="BU212" s="384">
        <v>150</v>
      </c>
      <c r="BV212" s="384">
        <v>150</v>
      </c>
      <c r="CG212" s="380">
        <v>86</v>
      </c>
      <c r="CH212" s="384">
        <v>100</v>
      </c>
      <c r="CI212" s="384">
        <v>100</v>
      </c>
      <c r="CJ212" s="384">
        <v>100</v>
      </c>
      <c r="CK212" s="384">
        <v>103</v>
      </c>
      <c r="CL212" s="384">
        <v>106</v>
      </c>
      <c r="CM212" s="384">
        <v>109</v>
      </c>
      <c r="CN212" s="384">
        <v>109</v>
      </c>
      <c r="CO212" s="384">
        <v>112</v>
      </c>
      <c r="CP212" s="384">
        <v>118</v>
      </c>
      <c r="CQ212" s="384">
        <v>122</v>
      </c>
      <c r="CR212" s="384">
        <v>128</v>
      </c>
      <c r="CS212" s="384">
        <v>132</v>
      </c>
      <c r="CT212" s="384">
        <v>135</v>
      </c>
      <c r="CU212" s="384">
        <v>142</v>
      </c>
      <c r="CV212" s="384">
        <v>146</v>
      </c>
      <c r="CW212" s="384">
        <v>150</v>
      </c>
      <c r="CX212" s="384">
        <v>150</v>
      </c>
      <c r="DI212" s="380">
        <v>86</v>
      </c>
      <c r="DJ212" s="384">
        <v>100</v>
      </c>
      <c r="DK212" s="384">
        <v>100</v>
      </c>
      <c r="DL212" s="384">
        <v>100</v>
      </c>
      <c r="DM212" s="384">
        <v>103</v>
      </c>
      <c r="DN212" s="384">
        <v>106</v>
      </c>
      <c r="DO212" s="384">
        <v>109</v>
      </c>
      <c r="DP212" s="384">
        <v>112</v>
      </c>
      <c r="DQ212" s="384">
        <v>115</v>
      </c>
      <c r="DR212" s="384">
        <v>125</v>
      </c>
      <c r="DS212" s="384">
        <v>128</v>
      </c>
      <c r="DT212" s="384">
        <v>135</v>
      </c>
      <c r="DU212" s="384">
        <v>138</v>
      </c>
      <c r="DV212" s="384">
        <v>142</v>
      </c>
      <c r="DW212" s="384">
        <v>146</v>
      </c>
      <c r="DX212" s="384">
        <v>146</v>
      </c>
      <c r="DY212" s="384">
        <v>150</v>
      </c>
      <c r="DZ212" s="384">
        <v>154</v>
      </c>
    </row>
    <row r="213" spans="1:134" x14ac:dyDescent="0.15">
      <c r="A213" s="390">
        <v>87</v>
      </c>
      <c r="B213" s="391">
        <v>100</v>
      </c>
      <c r="C213" s="391">
        <v>100</v>
      </c>
      <c r="D213" s="391">
        <v>100</v>
      </c>
      <c r="E213" s="391">
        <v>100</v>
      </c>
      <c r="F213" s="391">
        <v>100</v>
      </c>
      <c r="G213" s="391">
        <v>103</v>
      </c>
      <c r="H213" s="391">
        <v>106</v>
      </c>
      <c r="I213" s="391">
        <v>112</v>
      </c>
      <c r="J213" s="391">
        <v>115</v>
      </c>
      <c r="K213" s="391">
        <v>122</v>
      </c>
      <c r="L213" s="391">
        <v>125</v>
      </c>
      <c r="M213" s="391">
        <v>132</v>
      </c>
      <c r="N213" s="391">
        <v>135</v>
      </c>
      <c r="O213" s="391">
        <v>138</v>
      </c>
      <c r="P213" s="391">
        <v>142</v>
      </c>
      <c r="Q213" s="391">
        <v>146</v>
      </c>
      <c r="R213" s="391">
        <v>150</v>
      </c>
      <c r="AC213" s="380">
        <v>87</v>
      </c>
      <c r="AD213" s="384">
        <v>100</v>
      </c>
      <c r="AE213" s="384">
        <v>100</v>
      </c>
      <c r="AF213" s="384">
        <v>100</v>
      </c>
      <c r="AG213" s="384">
        <v>100</v>
      </c>
      <c r="AH213" s="384">
        <v>103</v>
      </c>
      <c r="AI213" s="384">
        <v>106</v>
      </c>
      <c r="AJ213" s="384">
        <v>109</v>
      </c>
      <c r="AK213" s="384">
        <v>112</v>
      </c>
      <c r="AL213" s="384">
        <v>115</v>
      </c>
      <c r="AM213" s="384">
        <v>122</v>
      </c>
      <c r="AN213" s="384">
        <v>128</v>
      </c>
      <c r="AO213" s="384">
        <v>132</v>
      </c>
      <c r="AP213" s="384">
        <v>135</v>
      </c>
      <c r="AQ213" s="384">
        <v>138</v>
      </c>
      <c r="AR213" s="384">
        <v>142</v>
      </c>
      <c r="AS213" s="384">
        <v>146</v>
      </c>
      <c r="AT213" s="384">
        <v>150</v>
      </c>
      <c r="BE213" s="380">
        <v>87</v>
      </c>
      <c r="BF213" s="384">
        <v>100</v>
      </c>
      <c r="BG213" s="384">
        <v>100</v>
      </c>
      <c r="BH213" s="384">
        <v>100</v>
      </c>
      <c r="BI213" s="384">
        <v>100</v>
      </c>
      <c r="BJ213" s="384">
        <v>103</v>
      </c>
      <c r="BK213" s="384">
        <v>106</v>
      </c>
      <c r="BL213" s="384">
        <v>109</v>
      </c>
      <c r="BM213" s="384">
        <v>112</v>
      </c>
      <c r="BN213" s="384">
        <v>118</v>
      </c>
      <c r="BO213" s="384">
        <v>122</v>
      </c>
      <c r="BP213" s="384">
        <v>128</v>
      </c>
      <c r="BQ213" s="384">
        <v>132</v>
      </c>
      <c r="BR213" s="384">
        <v>135</v>
      </c>
      <c r="BS213" s="384">
        <v>142</v>
      </c>
      <c r="BT213" s="384">
        <v>146</v>
      </c>
      <c r="BU213" s="384">
        <v>150</v>
      </c>
      <c r="BV213" s="384">
        <v>150</v>
      </c>
      <c r="CG213" s="380">
        <v>87</v>
      </c>
      <c r="CH213" s="384">
        <v>100</v>
      </c>
      <c r="CI213" s="384">
        <v>100</v>
      </c>
      <c r="CJ213" s="384">
        <v>100</v>
      </c>
      <c r="CK213" s="384">
        <v>103</v>
      </c>
      <c r="CL213" s="384">
        <v>106</v>
      </c>
      <c r="CM213" s="384">
        <v>109</v>
      </c>
      <c r="CN213" s="384">
        <v>109</v>
      </c>
      <c r="CO213" s="384">
        <v>112</v>
      </c>
      <c r="CP213" s="384">
        <v>118</v>
      </c>
      <c r="CQ213" s="384">
        <v>122</v>
      </c>
      <c r="CR213" s="384">
        <v>128</v>
      </c>
      <c r="CS213" s="384">
        <v>132</v>
      </c>
      <c r="CT213" s="384">
        <v>135</v>
      </c>
      <c r="CU213" s="384">
        <v>142</v>
      </c>
      <c r="CV213" s="384">
        <v>146</v>
      </c>
      <c r="CW213" s="384">
        <v>150</v>
      </c>
      <c r="CX213" s="384">
        <v>150</v>
      </c>
      <c r="DI213" s="380">
        <v>87</v>
      </c>
      <c r="DJ213" s="384">
        <v>100</v>
      </c>
      <c r="DK213" s="384">
        <v>100</v>
      </c>
      <c r="DL213" s="384">
        <v>100</v>
      </c>
      <c r="DM213" s="384">
        <v>103</v>
      </c>
      <c r="DN213" s="384">
        <v>106</v>
      </c>
      <c r="DO213" s="384">
        <v>109</v>
      </c>
      <c r="DP213" s="384">
        <v>112</v>
      </c>
      <c r="DQ213" s="384">
        <v>115</v>
      </c>
      <c r="DR213" s="384">
        <v>125</v>
      </c>
      <c r="DS213" s="384">
        <v>128</v>
      </c>
      <c r="DT213" s="384">
        <v>135</v>
      </c>
      <c r="DU213" s="384">
        <v>138</v>
      </c>
      <c r="DV213" s="384">
        <v>142</v>
      </c>
      <c r="DW213" s="384">
        <v>146</v>
      </c>
      <c r="DX213" s="384">
        <v>146</v>
      </c>
      <c r="DY213" s="384">
        <v>150</v>
      </c>
      <c r="DZ213" s="384">
        <v>154</v>
      </c>
    </row>
    <row r="214" spans="1:134" x14ac:dyDescent="0.15">
      <c r="A214" s="390">
        <v>88</v>
      </c>
      <c r="B214" s="391">
        <v>100</v>
      </c>
      <c r="C214" s="391">
        <v>100</v>
      </c>
      <c r="D214" s="391">
        <v>100</v>
      </c>
      <c r="E214" s="391">
        <v>100</v>
      </c>
      <c r="F214" s="391">
        <v>100</v>
      </c>
      <c r="G214" s="391">
        <v>103</v>
      </c>
      <c r="H214" s="391">
        <v>106</v>
      </c>
      <c r="I214" s="391">
        <v>112</v>
      </c>
      <c r="J214" s="391">
        <v>115</v>
      </c>
      <c r="K214" s="391">
        <v>122</v>
      </c>
      <c r="L214" s="391">
        <v>125</v>
      </c>
      <c r="M214" s="391">
        <v>132</v>
      </c>
      <c r="N214" s="391">
        <v>135</v>
      </c>
      <c r="O214" s="391">
        <v>138</v>
      </c>
      <c r="P214" s="391">
        <v>142</v>
      </c>
      <c r="Q214" s="391">
        <v>146</v>
      </c>
      <c r="R214" s="391">
        <v>150</v>
      </c>
      <c r="AC214" s="380">
        <v>88</v>
      </c>
      <c r="AD214" s="384">
        <v>100</v>
      </c>
      <c r="AE214" s="384">
        <v>100</v>
      </c>
      <c r="AF214" s="384">
        <v>100</v>
      </c>
      <c r="AG214" s="384">
        <v>100</v>
      </c>
      <c r="AH214" s="384">
        <v>103</v>
      </c>
      <c r="AI214" s="384">
        <v>106</v>
      </c>
      <c r="AJ214" s="384">
        <v>109</v>
      </c>
      <c r="AK214" s="384">
        <v>112</v>
      </c>
      <c r="AL214" s="384">
        <v>115</v>
      </c>
      <c r="AM214" s="384">
        <v>122</v>
      </c>
      <c r="AN214" s="384">
        <v>128</v>
      </c>
      <c r="AO214" s="384">
        <v>132</v>
      </c>
      <c r="AP214" s="384">
        <v>135</v>
      </c>
      <c r="AQ214" s="384">
        <v>138</v>
      </c>
      <c r="AR214" s="384">
        <v>142</v>
      </c>
      <c r="AS214" s="384">
        <v>146</v>
      </c>
      <c r="AT214" s="384">
        <v>150</v>
      </c>
      <c r="BE214" s="380">
        <v>88</v>
      </c>
      <c r="BF214" s="384">
        <v>100</v>
      </c>
      <c r="BG214" s="384">
        <v>100</v>
      </c>
      <c r="BH214" s="384">
        <v>100</v>
      </c>
      <c r="BI214" s="384">
        <v>100</v>
      </c>
      <c r="BJ214" s="384">
        <v>103</v>
      </c>
      <c r="BK214" s="384">
        <v>106</v>
      </c>
      <c r="BL214" s="384">
        <v>109</v>
      </c>
      <c r="BM214" s="384">
        <v>112</v>
      </c>
      <c r="BN214" s="384">
        <v>118</v>
      </c>
      <c r="BO214" s="384">
        <v>122</v>
      </c>
      <c r="BP214" s="384">
        <v>128</v>
      </c>
      <c r="BQ214" s="384">
        <v>132</v>
      </c>
      <c r="BR214" s="384">
        <v>135</v>
      </c>
      <c r="BS214" s="384">
        <v>142</v>
      </c>
      <c r="BT214" s="384">
        <v>146</v>
      </c>
      <c r="BU214" s="384">
        <v>150</v>
      </c>
      <c r="BV214" s="384">
        <v>150</v>
      </c>
      <c r="CG214" s="380">
        <v>88</v>
      </c>
      <c r="CH214" s="384">
        <v>100</v>
      </c>
      <c r="CI214" s="384">
        <v>100</v>
      </c>
      <c r="CJ214" s="384">
        <v>100</v>
      </c>
      <c r="CK214" s="384">
        <v>103</v>
      </c>
      <c r="CL214" s="384">
        <v>106</v>
      </c>
      <c r="CM214" s="384">
        <v>109</v>
      </c>
      <c r="CN214" s="384">
        <v>109</v>
      </c>
      <c r="CO214" s="384">
        <v>112</v>
      </c>
      <c r="CP214" s="384">
        <v>118</v>
      </c>
      <c r="CQ214" s="384">
        <v>122</v>
      </c>
      <c r="CR214" s="384">
        <v>128</v>
      </c>
      <c r="CS214" s="384">
        <v>132</v>
      </c>
      <c r="CT214" s="384">
        <v>135</v>
      </c>
      <c r="CU214" s="384">
        <v>142</v>
      </c>
      <c r="CV214" s="384">
        <v>146</v>
      </c>
      <c r="CW214" s="384">
        <v>150</v>
      </c>
      <c r="CX214" s="384">
        <v>150</v>
      </c>
      <c r="DI214" s="380">
        <v>88</v>
      </c>
      <c r="DJ214" s="384">
        <v>100</v>
      </c>
      <c r="DK214" s="384">
        <v>100</v>
      </c>
      <c r="DL214" s="384">
        <v>100</v>
      </c>
      <c r="DM214" s="384">
        <v>103</v>
      </c>
      <c r="DN214" s="384">
        <v>106</v>
      </c>
      <c r="DO214" s="384">
        <v>109</v>
      </c>
      <c r="DP214" s="384">
        <v>112</v>
      </c>
      <c r="DQ214" s="384">
        <v>115</v>
      </c>
      <c r="DR214" s="384">
        <v>125</v>
      </c>
      <c r="DS214" s="384">
        <v>128</v>
      </c>
      <c r="DT214" s="384">
        <v>135</v>
      </c>
      <c r="DU214" s="384">
        <v>138</v>
      </c>
      <c r="DV214" s="384">
        <v>142</v>
      </c>
      <c r="DW214" s="384">
        <v>146</v>
      </c>
      <c r="DX214" s="384">
        <v>146</v>
      </c>
      <c r="DY214" s="384">
        <v>150</v>
      </c>
      <c r="DZ214" s="384">
        <v>154</v>
      </c>
    </row>
    <row r="215" spans="1:134" x14ac:dyDescent="0.15">
      <c r="A215" s="390">
        <v>89</v>
      </c>
      <c r="B215" s="391">
        <v>100</v>
      </c>
      <c r="C215" s="391">
        <v>100</v>
      </c>
      <c r="D215" s="391">
        <v>100</v>
      </c>
      <c r="E215" s="391">
        <v>100</v>
      </c>
      <c r="F215" s="391">
        <v>100</v>
      </c>
      <c r="G215" s="391">
        <v>103</v>
      </c>
      <c r="H215" s="391">
        <v>106</v>
      </c>
      <c r="I215" s="391">
        <v>112</v>
      </c>
      <c r="J215" s="391">
        <v>115</v>
      </c>
      <c r="K215" s="391">
        <v>122</v>
      </c>
      <c r="L215" s="391">
        <v>125</v>
      </c>
      <c r="M215" s="391">
        <v>132</v>
      </c>
      <c r="N215" s="391">
        <v>135</v>
      </c>
      <c r="O215" s="391">
        <v>138</v>
      </c>
      <c r="P215" s="391">
        <v>142</v>
      </c>
      <c r="Q215" s="391">
        <v>146</v>
      </c>
      <c r="R215" s="391">
        <v>150</v>
      </c>
      <c r="AC215" s="380">
        <v>89</v>
      </c>
      <c r="AD215" s="384">
        <v>100</v>
      </c>
      <c r="AE215" s="384">
        <v>100</v>
      </c>
      <c r="AF215" s="384">
        <v>100</v>
      </c>
      <c r="AG215" s="384">
        <v>100</v>
      </c>
      <c r="AH215" s="384">
        <v>103</v>
      </c>
      <c r="AI215" s="384">
        <v>106</v>
      </c>
      <c r="AJ215" s="384">
        <v>109</v>
      </c>
      <c r="AK215" s="384">
        <v>112</v>
      </c>
      <c r="AL215" s="384">
        <v>115</v>
      </c>
      <c r="AM215" s="384">
        <v>122</v>
      </c>
      <c r="AN215" s="384">
        <v>128</v>
      </c>
      <c r="AO215" s="384">
        <v>132</v>
      </c>
      <c r="AP215" s="384">
        <v>135</v>
      </c>
      <c r="AQ215" s="384">
        <v>138</v>
      </c>
      <c r="AR215" s="384">
        <v>142</v>
      </c>
      <c r="AS215" s="384">
        <v>146</v>
      </c>
      <c r="AT215" s="384">
        <v>150</v>
      </c>
      <c r="BE215" s="380">
        <v>89</v>
      </c>
      <c r="BF215" s="384">
        <v>100</v>
      </c>
      <c r="BG215" s="384">
        <v>100</v>
      </c>
      <c r="BH215" s="384">
        <v>100</v>
      </c>
      <c r="BI215" s="384">
        <v>100</v>
      </c>
      <c r="BJ215" s="384">
        <v>103</v>
      </c>
      <c r="BK215" s="384">
        <v>106</v>
      </c>
      <c r="BL215" s="384">
        <v>109</v>
      </c>
      <c r="BM215" s="384">
        <v>112</v>
      </c>
      <c r="BN215" s="384">
        <v>118</v>
      </c>
      <c r="BO215" s="384">
        <v>122</v>
      </c>
      <c r="BP215" s="384">
        <v>128</v>
      </c>
      <c r="BQ215" s="384">
        <v>132</v>
      </c>
      <c r="BR215" s="384">
        <v>135</v>
      </c>
      <c r="BS215" s="384">
        <v>142</v>
      </c>
      <c r="BT215" s="384">
        <v>146</v>
      </c>
      <c r="BU215" s="384">
        <v>150</v>
      </c>
      <c r="BV215" s="384">
        <v>150</v>
      </c>
      <c r="CG215" s="380">
        <v>89</v>
      </c>
      <c r="CH215" s="384">
        <v>100</v>
      </c>
      <c r="CI215" s="384">
        <v>100</v>
      </c>
      <c r="CJ215" s="384">
        <v>100</v>
      </c>
      <c r="CK215" s="384">
        <v>103</v>
      </c>
      <c r="CL215" s="384">
        <v>106</v>
      </c>
      <c r="CM215" s="384">
        <v>109</v>
      </c>
      <c r="CN215" s="384">
        <v>109</v>
      </c>
      <c r="CO215" s="384">
        <v>112</v>
      </c>
      <c r="CP215" s="384">
        <v>118</v>
      </c>
      <c r="CQ215" s="384">
        <v>122</v>
      </c>
      <c r="CR215" s="384">
        <v>128</v>
      </c>
      <c r="CS215" s="384">
        <v>132</v>
      </c>
      <c r="CT215" s="384">
        <v>135</v>
      </c>
      <c r="CU215" s="384">
        <v>142</v>
      </c>
      <c r="CV215" s="384">
        <v>146</v>
      </c>
      <c r="CW215" s="384">
        <v>150</v>
      </c>
      <c r="CX215" s="384">
        <v>150</v>
      </c>
      <c r="DI215" s="380">
        <v>89</v>
      </c>
      <c r="DJ215" s="384">
        <v>100</v>
      </c>
      <c r="DK215" s="384">
        <v>100</v>
      </c>
      <c r="DL215" s="384">
        <v>100</v>
      </c>
      <c r="DM215" s="384">
        <v>103</v>
      </c>
      <c r="DN215" s="384">
        <v>106</v>
      </c>
      <c r="DO215" s="384">
        <v>109</v>
      </c>
      <c r="DP215" s="384">
        <v>112</v>
      </c>
      <c r="DQ215" s="384">
        <v>115</v>
      </c>
      <c r="DR215" s="384">
        <v>125</v>
      </c>
      <c r="DS215" s="384">
        <v>128</v>
      </c>
      <c r="DT215" s="384">
        <v>135</v>
      </c>
      <c r="DU215" s="384">
        <v>138</v>
      </c>
      <c r="DV215" s="384">
        <v>142</v>
      </c>
      <c r="DW215" s="384">
        <v>146</v>
      </c>
      <c r="DX215" s="384">
        <v>146</v>
      </c>
      <c r="DY215" s="384">
        <v>150</v>
      </c>
      <c r="DZ215" s="384">
        <v>154</v>
      </c>
    </row>
    <row r="217" spans="1:134" x14ac:dyDescent="0.15">
      <c r="A217" s="377" t="s">
        <v>417</v>
      </c>
      <c r="B217" s="377">
        <f>'Standard Tests'!$B$17</f>
        <v>38</v>
      </c>
      <c r="E217" s="377" t="s">
        <v>440</v>
      </c>
      <c r="F217" s="377">
        <f>INDEX(B126:R215,MATCH(B217,A126:A215,0),MATCH(B218,B125:R125,0))</f>
        <v>56</v>
      </c>
      <c r="AC217" s="377" t="s">
        <v>417</v>
      </c>
      <c r="AD217" s="377">
        <f>'Standard Tests'!$B$17</f>
        <v>38</v>
      </c>
      <c r="AG217" s="377" t="s">
        <v>440</v>
      </c>
      <c r="AH217" s="377">
        <f>INDEX(AD126:AT215,MATCH(AD217,AC126:AC215,0),MATCH(AD218,AD125:AT125,0))</f>
        <v>64</v>
      </c>
      <c r="BE217" s="377" t="s">
        <v>417</v>
      </c>
      <c r="BF217" s="377">
        <f>'Standard Tests'!$B$17</f>
        <v>38</v>
      </c>
      <c r="BI217" s="377" t="s">
        <v>440</v>
      </c>
      <c r="BJ217" s="377">
        <f>INDEX(BF126:BV215,MATCH(BF217,BE126:BE215,0),MATCH(BF218,BF125:BV125,0))</f>
        <v>64</v>
      </c>
      <c r="CG217" s="377" t="s">
        <v>417</v>
      </c>
      <c r="CH217" s="377">
        <f>'Standard Tests'!$B$17</f>
        <v>38</v>
      </c>
      <c r="CK217" s="377" t="s">
        <v>440</v>
      </c>
      <c r="CL217" s="377">
        <f>INDEX(CH126:CX215,MATCH(CH217,CG126:CG215,0),MATCH(CH218,CH125:CX125,0))</f>
        <v>75</v>
      </c>
      <c r="DI217" s="377" t="s">
        <v>417</v>
      </c>
      <c r="DJ217" s="377">
        <f>'Standard Tests'!$B$17</f>
        <v>38</v>
      </c>
      <c r="DM217" s="377" t="s">
        <v>440</v>
      </c>
      <c r="DN217" s="377">
        <f>INDEX(DJ126:DZ215,MATCH(DJ217,DI126:DI215,0),MATCH(DJ218,DJ125:DZ125,0))</f>
        <v>85</v>
      </c>
    </row>
    <row r="218" spans="1:134" x14ac:dyDescent="0.15">
      <c r="A218" s="377" t="s">
        <v>416</v>
      </c>
      <c r="B218" s="377">
        <f>'Standard Tests'!$B$16</f>
        <v>4</v>
      </c>
      <c r="AC218" s="377" t="s">
        <v>416</v>
      </c>
      <c r="AD218" s="377">
        <f>'Standard Tests'!$B$16</f>
        <v>4</v>
      </c>
      <c r="BE218" s="377" t="s">
        <v>416</v>
      </c>
      <c r="BF218" s="377">
        <f>'Standard Tests'!$B$16</f>
        <v>4</v>
      </c>
      <c r="CG218" s="377" t="s">
        <v>416</v>
      </c>
      <c r="CH218" s="377">
        <f>'Standard Tests'!$B$16</f>
        <v>4</v>
      </c>
      <c r="DI218" s="377" t="s">
        <v>416</v>
      </c>
      <c r="DJ218" s="377">
        <f>'Standard Tests'!$B$16</f>
        <v>4</v>
      </c>
    </row>
    <row r="221" spans="1:134" x14ac:dyDescent="0.15">
      <c r="A221" s="386"/>
      <c r="B221" s="387" t="s">
        <v>436</v>
      </c>
      <c r="C221" s="386"/>
      <c r="D221" s="386"/>
      <c r="E221" s="386"/>
      <c r="F221" s="386"/>
      <c r="G221" s="386"/>
      <c r="H221" s="386"/>
      <c r="I221" s="386"/>
      <c r="J221" s="386"/>
      <c r="K221" s="386"/>
      <c r="L221" s="386"/>
      <c r="M221" s="386"/>
      <c r="N221" s="386"/>
      <c r="O221" s="386"/>
      <c r="P221" s="386"/>
      <c r="Q221" s="386"/>
      <c r="R221" s="386"/>
      <c r="S221" s="386"/>
      <c r="T221" s="386"/>
      <c r="U221" s="386"/>
      <c r="V221" s="386"/>
      <c r="AD221" s="376" t="s">
        <v>436</v>
      </c>
      <c r="BF221" s="376" t="s">
        <v>436</v>
      </c>
      <c r="CH221" s="376" t="s">
        <v>436</v>
      </c>
      <c r="DJ221" s="376" t="s">
        <v>436</v>
      </c>
    </row>
    <row r="222" spans="1:134" x14ac:dyDescent="0.15">
      <c r="A222" s="381" t="s">
        <v>437</v>
      </c>
      <c r="B222" s="380">
        <v>0</v>
      </c>
      <c r="C222" s="380">
        <v>1</v>
      </c>
      <c r="D222" s="380">
        <v>2</v>
      </c>
      <c r="E222" s="380">
        <v>3</v>
      </c>
      <c r="F222" s="380">
        <v>4</v>
      </c>
      <c r="G222" s="380">
        <v>5</v>
      </c>
      <c r="H222" s="380">
        <v>6</v>
      </c>
      <c r="I222" s="380">
        <v>7</v>
      </c>
      <c r="J222" s="380">
        <v>8</v>
      </c>
      <c r="K222" s="380">
        <v>9</v>
      </c>
      <c r="L222" s="380">
        <v>10</v>
      </c>
      <c r="M222" s="380">
        <v>11</v>
      </c>
      <c r="N222" s="380">
        <v>12</v>
      </c>
      <c r="O222" s="380">
        <v>13</v>
      </c>
      <c r="P222" s="380">
        <v>14</v>
      </c>
      <c r="Q222" s="380">
        <v>15</v>
      </c>
      <c r="R222" s="380">
        <v>16</v>
      </c>
      <c r="S222" s="380">
        <v>17</v>
      </c>
      <c r="T222" s="380">
        <v>18</v>
      </c>
      <c r="U222" s="381">
        <v>19</v>
      </c>
      <c r="V222" s="381">
        <v>20</v>
      </c>
      <c r="AC222" s="381" t="s">
        <v>437</v>
      </c>
      <c r="AD222" s="380">
        <v>0</v>
      </c>
      <c r="AE222" s="380">
        <v>1</v>
      </c>
      <c r="AF222" s="380">
        <v>2</v>
      </c>
      <c r="AG222" s="380">
        <v>3</v>
      </c>
      <c r="AH222" s="380">
        <v>4</v>
      </c>
      <c r="AI222" s="380">
        <v>5</v>
      </c>
      <c r="AJ222" s="380">
        <v>6</v>
      </c>
      <c r="AK222" s="380">
        <v>7</v>
      </c>
      <c r="AL222" s="380">
        <v>8</v>
      </c>
      <c r="AM222" s="380">
        <v>9</v>
      </c>
      <c r="AN222" s="380">
        <v>10</v>
      </c>
      <c r="AO222" s="380">
        <v>11</v>
      </c>
      <c r="AP222" s="380">
        <v>12</v>
      </c>
      <c r="AQ222" s="380">
        <v>13</v>
      </c>
      <c r="AR222" s="380">
        <v>14</v>
      </c>
      <c r="AS222" s="380">
        <v>15</v>
      </c>
      <c r="AT222" s="380">
        <v>16</v>
      </c>
      <c r="AU222" s="380">
        <v>17</v>
      </c>
      <c r="AV222" s="380">
        <v>18</v>
      </c>
      <c r="AW222" s="381">
        <v>19</v>
      </c>
      <c r="AX222" s="381">
        <v>20</v>
      </c>
      <c r="BE222" s="381" t="s">
        <v>437</v>
      </c>
      <c r="BF222" s="380">
        <v>0</v>
      </c>
      <c r="BG222" s="380">
        <v>1</v>
      </c>
      <c r="BH222" s="380">
        <v>2</v>
      </c>
      <c r="BI222" s="380">
        <v>3</v>
      </c>
      <c r="BJ222" s="380">
        <v>4</v>
      </c>
      <c r="BK222" s="380">
        <v>5</v>
      </c>
      <c r="BL222" s="380">
        <v>6</v>
      </c>
      <c r="BM222" s="380">
        <v>7</v>
      </c>
      <c r="BN222" s="380">
        <v>8</v>
      </c>
      <c r="BO222" s="380">
        <v>9</v>
      </c>
      <c r="BP222" s="380">
        <v>10</v>
      </c>
      <c r="BQ222" s="380">
        <v>11</v>
      </c>
      <c r="BR222" s="380">
        <v>12</v>
      </c>
      <c r="BS222" s="380">
        <v>13</v>
      </c>
      <c r="BT222" s="380">
        <v>14</v>
      </c>
      <c r="BU222" s="380">
        <v>15</v>
      </c>
      <c r="BV222" s="380">
        <v>16</v>
      </c>
      <c r="BW222" s="380">
        <v>17</v>
      </c>
      <c r="BX222" s="380">
        <v>18</v>
      </c>
      <c r="BY222" s="381">
        <v>19</v>
      </c>
      <c r="BZ222" s="381">
        <v>20</v>
      </c>
      <c r="CG222" s="381" t="s">
        <v>437</v>
      </c>
      <c r="CH222" s="380">
        <v>0</v>
      </c>
      <c r="CI222" s="380">
        <v>1</v>
      </c>
      <c r="CJ222" s="380">
        <v>2</v>
      </c>
      <c r="CK222" s="380">
        <v>3</v>
      </c>
      <c r="CL222" s="380">
        <v>4</v>
      </c>
      <c r="CM222" s="380">
        <v>5</v>
      </c>
      <c r="CN222" s="380">
        <v>6</v>
      </c>
      <c r="CO222" s="380">
        <v>7</v>
      </c>
      <c r="CP222" s="380">
        <v>8</v>
      </c>
      <c r="CQ222" s="380">
        <v>9</v>
      </c>
      <c r="CR222" s="380">
        <v>10</v>
      </c>
      <c r="CS222" s="380">
        <v>11</v>
      </c>
      <c r="CT222" s="380">
        <v>12</v>
      </c>
      <c r="CU222" s="380">
        <v>13</v>
      </c>
      <c r="CV222" s="380">
        <v>14</v>
      </c>
      <c r="CW222" s="380">
        <v>15</v>
      </c>
      <c r="CX222" s="380">
        <v>16</v>
      </c>
      <c r="CY222" s="380">
        <v>17</v>
      </c>
      <c r="CZ222" s="380">
        <v>18</v>
      </c>
      <c r="DA222" s="381">
        <v>19</v>
      </c>
      <c r="DB222" s="381">
        <v>20</v>
      </c>
      <c r="DI222" s="381" t="s">
        <v>437</v>
      </c>
      <c r="DJ222" s="380">
        <v>0</v>
      </c>
      <c r="DK222" s="380">
        <v>1</v>
      </c>
      <c r="DL222" s="380">
        <v>2</v>
      </c>
      <c r="DM222" s="380">
        <v>3</v>
      </c>
      <c r="DN222" s="380">
        <v>4</v>
      </c>
      <c r="DO222" s="380">
        <v>5</v>
      </c>
      <c r="DP222" s="380">
        <v>6</v>
      </c>
      <c r="DQ222" s="380">
        <v>7</v>
      </c>
      <c r="DR222" s="380">
        <v>8</v>
      </c>
      <c r="DS222" s="380">
        <v>9</v>
      </c>
      <c r="DT222" s="380">
        <v>10</v>
      </c>
      <c r="DU222" s="380">
        <v>11</v>
      </c>
      <c r="DV222" s="380">
        <v>12</v>
      </c>
      <c r="DW222" s="380">
        <v>13</v>
      </c>
      <c r="DX222" s="380">
        <v>14</v>
      </c>
      <c r="DY222" s="380">
        <v>15</v>
      </c>
      <c r="DZ222" s="380">
        <v>16</v>
      </c>
      <c r="EA222" s="380">
        <v>17</v>
      </c>
      <c r="EB222" s="380">
        <v>18</v>
      </c>
      <c r="EC222" s="381">
        <v>19</v>
      </c>
      <c r="ED222" s="380">
        <v>20</v>
      </c>
    </row>
    <row r="223" spans="1:134" x14ac:dyDescent="0.15">
      <c r="A223" s="380">
        <v>0</v>
      </c>
      <c r="B223" s="384">
        <v>40</v>
      </c>
      <c r="C223" s="384">
        <v>40</v>
      </c>
      <c r="D223" s="384">
        <v>40</v>
      </c>
      <c r="E223" s="384">
        <v>40</v>
      </c>
      <c r="F223" s="384">
        <v>40</v>
      </c>
      <c r="G223" s="384">
        <v>40</v>
      </c>
      <c r="H223" s="384">
        <v>40</v>
      </c>
      <c r="I223" s="384">
        <v>40</v>
      </c>
      <c r="J223" s="384">
        <v>40</v>
      </c>
      <c r="K223" s="384">
        <v>40</v>
      </c>
      <c r="L223" s="384">
        <v>40</v>
      </c>
      <c r="M223" s="384">
        <v>40</v>
      </c>
      <c r="N223" s="384">
        <v>40</v>
      </c>
      <c r="O223" s="384">
        <v>40</v>
      </c>
      <c r="P223" s="384">
        <v>44</v>
      </c>
      <c r="Q223" s="384">
        <v>44</v>
      </c>
      <c r="R223" s="384">
        <v>48</v>
      </c>
      <c r="S223" s="384">
        <v>52</v>
      </c>
      <c r="T223" s="384">
        <v>56</v>
      </c>
      <c r="U223" s="384">
        <v>75</v>
      </c>
      <c r="V223" s="384">
        <v>75</v>
      </c>
      <c r="AC223" s="380">
        <v>0</v>
      </c>
      <c r="AD223" s="384">
        <v>40</v>
      </c>
      <c r="AE223" s="384">
        <v>40</v>
      </c>
      <c r="AF223" s="384">
        <v>40</v>
      </c>
      <c r="AG223" s="384">
        <v>40</v>
      </c>
      <c r="AH223" s="384">
        <v>40</v>
      </c>
      <c r="AI223" s="384">
        <v>40</v>
      </c>
      <c r="AJ223" s="384">
        <v>40</v>
      </c>
      <c r="AK223" s="384">
        <v>40</v>
      </c>
      <c r="AL223" s="384">
        <v>40</v>
      </c>
      <c r="AM223" s="384">
        <v>40</v>
      </c>
      <c r="AN223" s="384">
        <v>40</v>
      </c>
      <c r="AO223" s="384">
        <v>40</v>
      </c>
      <c r="AP223" s="384">
        <v>40</v>
      </c>
      <c r="AQ223" s="384">
        <v>44</v>
      </c>
      <c r="AR223" s="384">
        <v>44</v>
      </c>
      <c r="AS223" s="384">
        <v>48</v>
      </c>
      <c r="AT223" s="384">
        <v>48</v>
      </c>
      <c r="AU223" s="384">
        <v>52</v>
      </c>
      <c r="AV223" s="384">
        <v>60</v>
      </c>
      <c r="AW223" s="384">
        <v>77</v>
      </c>
      <c r="AX223" s="384">
        <v>77</v>
      </c>
      <c r="BE223" s="380">
        <v>0</v>
      </c>
      <c r="BF223" s="384">
        <v>40</v>
      </c>
      <c r="BG223" s="384">
        <v>40</v>
      </c>
      <c r="BH223" s="384">
        <v>40</v>
      </c>
      <c r="BI223" s="384">
        <v>40</v>
      </c>
      <c r="BJ223" s="384">
        <v>40</v>
      </c>
      <c r="BK223" s="384">
        <v>40</v>
      </c>
      <c r="BL223" s="384">
        <v>40</v>
      </c>
      <c r="BM223" s="384">
        <v>40</v>
      </c>
      <c r="BN223" s="384">
        <v>40</v>
      </c>
      <c r="BO223" s="384">
        <v>40</v>
      </c>
      <c r="BP223" s="384">
        <v>40</v>
      </c>
      <c r="BQ223" s="384">
        <v>40</v>
      </c>
      <c r="BR223" s="384">
        <v>40</v>
      </c>
      <c r="BS223" s="384">
        <v>44</v>
      </c>
      <c r="BT223" s="384">
        <v>48</v>
      </c>
      <c r="BU223" s="384">
        <v>48</v>
      </c>
      <c r="BV223" s="384">
        <v>48</v>
      </c>
      <c r="BW223" s="384">
        <v>56</v>
      </c>
      <c r="BX223" s="384">
        <v>60</v>
      </c>
      <c r="BY223" s="384">
        <v>78</v>
      </c>
      <c r="BZ223" s="384">
        <v>78</v>
      </c>
      <c r="CG223" s="380">
        <v>0</v>
      </c>
      <c r="CH223" s="384">
        <v>40</v>
      </c>
      <c r="CI223" s="384">
        <v>40</v>
      </c>
      <c r="CJ223" s="384">
        <v>40</v>
      </c>
      <c r="CK223" s="384">
        <v>40</v>
      </c>
      <c r="CL223" s="384">
        <v>40</v>
      </c>
      <c r="CM223" s="384">
        <v>40</v>
      </c>
      <c r="CN223" s="384">
        <v>40</v>
      </c>
      <c r="CO223" s="384">
        <v>40</v>
      </c>
      <c r="CP223" s="384">
        <v>40</v>
      </c>
      <c r="CQ223" s="384">
        <v>40</v>
      </c>
      <c r="CR223" s="384">
        <v>40</v>
      </c>
      <c r="CS223" s="384">
        <v>40</v>
      </c>
      <c r="CT223" s="384">
        <v>40</v>
      </c>
      <c r="CU223" s="384">
        <v>44</v>
      </c>
      <c r="CV223" s="384">
        <v>48</v>
      </c>
      <c r="CW223" s="384">
        <v>48</v>
      </c>
      <c r="CX223" s="384">
        <v>52</v>
      </c>
      <c r="CY223" s="384">
        <v>56</v>
      </c>
      <c r="CZ223" s="384">
        <v>60</v>
      </c>
      <c r="DA223" s="384">
        <v>79</v>
      </c>
      <c r="DB223" s="384">
        <v>79</v>
      </c>
      <c r="DI223" s="380">
        <v>0</v>
      </c>
      <c r="DJ223" s="384">
        <v>40</v>
      </c>
      <c r="DK223" s="384">
        <v>40</v>
      </c>
      <c r="DL223" s="384">
        <v>40</v>
      </c>
      <c r="DM223" s="384">
        <v>40</v>
      </c>
      <c r="DN223" s="384">
        <v>40</v>
      </c>
      <c r="DO223" s="384">
        <v>40</v>
      </c>
      <c r="DP223" s="384">
        <v>40</v>
      </c>
      <c r="DQ223" s="384">
        <v>40</v>
      </c>
      <c r="DR223" s="384">
        <v>40</v>
      </c>
      <c r="DS223" s="384">
        <v>40</v>
      </c>
      <c r="DT223" s="384">
        <v>40</v>
      </c>
      <c r="DU223" s="384">
        <v>40</v>
      </c>
      <c r="DV223" s="384">
        <v>40</v>
      </c>
      <c r="DW223" s="384">
        <v>44</v>
      </c>
      <c r="DX223" s="384">
        <v>48</v>
      </c>
      <c r="DY223" s="384">
        <v>52</v>
      </c>
      <c r="DZ223" s="384">
        <v>52</v>
      </c>
      <c r="EA223" s="384">
        <v>56</v>
      </c>
      <c r="EB223" s="384">
        <v>64</v>
      </c>
      <c r="EC223" s="384">
        <v>80</v>
      </c>
      <c r="ED223" s="384">
        <v>80</v>
      </c>
    </row>
    <row r="224" spans="1:134" x14ac:dyDescent="0.15">
      <c r="A224" s="380">
        <v>1</v>
      </c>
      <c r="B224" s="384">
        <v>40</v>
      </c>
      <c r="C224" s="384">
        <v>40</v>
      </c>
      <c r="D224" s="384">
        <v>40</v>
      </c>
      <c r="E224" s="384">
        <v>40</v>
      </c>
      <c r="F224" s="384">
        <v>40</v>
      </c>
      <c r="G224" s="384">
        <v>40</v>
      </c>
      <c r="H224" s="384">
        <v>40</v>
      </c>
      <c r="I224" s="384">
        <v>40</v>
      </c>
      <c r="J224" s="384">
        <v>40</v>
      </c>
      <c r="K224" s="384">
        <v>40</v>
      </c>
      <c r="L224" s="384">
        <v>40</v>
      </c>
      <c r="M224" s="384">
        <v>40</v>
      </c>
      <c r="N224" s="384">
        <v>40</v>
      </c>
      <c r="O224" s="384">
        <v>40</v>
      </c>
      <c r="P224" s="384">
        <v>44</v>
      </c>
      <c r="Q224" s="384">
        <v>44</v>
      </c>
      <c r="R224" s="384">
        <v>48</v>
      </c>
      <c r="S224" s="384">
        <v>52</v>
      </c>
      <c r="T224" s="384">
        <v>56</v>
      </c>
      <c r="U224" s="384">
        <v>75</v>
      </c>
      <c r="V224" s="384">
        <v>75</v>
      </c>
      <c r="AC224" s="380">
        <v>1</v>
      </c>
      <c r="AD224" s="384">
        <v>40</v>
      </c>
      <c r="AE224" s="384">
        <v>40</v>
      </c>
      <c r="AF224" s="384">
        <v>40</v>
      </c>
      <c r="AG224" s="384">
        <v>40</v>
      </c>
      <c r="AH224" s="384">
        <v>40</v>
      </c>
      <c r="AI224" s="384">
        <v>40</v>
      </c>
      <c r="AJ224" s="384">
        <v>40</v>
      </c>
      <c r="AK224" s="384">
        <v>40</v>
      </c>
      <c r="AL224" s="384">
        <v>40</v>
      </c>
      <c r="AM224" s="384">
        <v>40</v>
      </c>
      <c r="AN224" s="384">
        <v>40</v>
      </c>
      <c r="AO224" s="384">
        <v>40</v>
      </c>
      <c r="AP224" s="384">
        <v>40</v>
      </c>
      <c r="AQ224" s="384">
        <v>44</v>
      </c>
      <c r="AR224" s="384">
        <v>44</v>
      </c>
      <c r="AS224" s="384">
        <v>48</v>
      </c>
      <c r="AT224" s="384">
        <v>48</v>
      </c>
      <c r="AU224" s="384">
        <v>52</v>
      </c>
      <c r="AV224" s="384">
        <v>60</v>
      </c>
      <c r="AW224" s="384">
        <v>77</v>
      </c>
      <c r="AX224" s="384">
        <v>77</v>
      </c>
      <c r="BE224" s="380">
        <v>1</v>
      </c>
      <c r="BF224" s="384">
        <v>40</v>
      </c>
      <c r="BG224" s="384">
        <v>40</v>
      </c>
      <c r="BH224" s="384">
        <v>40</v>
      </c>
      <c r="BI224" s="384">
        <v>40</v>
      </c>
      <c r="BJ224" s="384">
        <v>40</v>
      </c>
      <c r="BK224" s="384">
        <v>40</v>
      </c>
      <c r="BL224" s="384">
        <v>40</v>
      </c>
      <c r="BM224" s="384">
        <v>40</v>
      </c>
      <c r="BN224" s="384">
        <v>40</v>
      </c>
      <c r="BO224" s="384">
        <v>40</v>
      </c>
      <c r="BP224" s="384">
        <v>40</v>
      </c>
      <c r="BQ224" s="384">
        <v>40</v>
      </c>
      <c r="BR224" s="384">
        <v>40</v>
      </c>
      <c r="BS224" s="384">
        <v>44</v>
      </c>
      <c r="BT224" s="384">
        <v>48</v>
      </c>
      <c r="BU224" s="384">
        <v>48</v>
      </c>
      <c r="BV224" s="384">
        <v>48</v>
      </c>
      <c r="BW224" s="384">
        <v>56</v>
      </c>
      <c r="BX224" s="384">
        <v>60</v>
      </c>
      <c r="BY224" s="384">
        <v>78</v>
      </c>
      <c r="BZ224" s="384">
        <v>78</v>
      </c>
      <c r="CG224" s="380">
        <v>1</v>
      </c>
      <c r="CH224" s="384">
        <v>40</v>
      </c>
      <c r="CI224" s="384">
        <v>40</v>
      </c>
      <c r="CJ224" s="384">
        <v>40</v>
      </c>
      <c r="CK224" s="384">
        <v>40</v>
      </c>
      <c r="CL224" s="384">
        <v>40</v>
      </c>
      <c r="CM224" s="384">
        <v>40</v>
      </c>
      <c r="CN224" s="384">
        <v>40</v>
      </c>
      <c r="CO224" s="384">
        <v>40</v>
      </c>
      <c r="CP224" s="384">
        <v>40</v>
      </c>
      <c r="CQ224" s="384">
        <v>40</v>
      </c>
      <c r="CR224" s="384">
        <v>40</v>
      </c>
      <c r="CS224" s="384">
        <v>40</v>
      </c>
      <c r="CT224" s="384">
        <v>40</v>
      </c>
      <c r="CU224" s="384">
        <v>44</v>
      </c>
      <c r="CV224" s="384">
        <v>48</v>
      </c>
      <c r="CW224" s="384">
        <v>48</v>
      </c>
      <c r="CX224" s="384">
        <v>52</v>
      </c>
      <c r="CY224" s="384">
        <v>56</v>
      </c>
      <c r="CZ224" s="384">
        <v>60</v>
      </c>
      <c r="DA224" s="384">
        <v>79</v>
      </c>
      <c r="DB224" s="384">
        <v>79</v>
      </c>
      <c r="DI224" s="380">
        <v>1</v>
      </c>
      <c r="DJ224" s="384">
        <v>40</v>
      </c>
      <c r="DK224" s="384">
        <v>40</v>
      </c>
      <c r="DL224" s="384">
        <v>40</v>
      </c>
      <c r="DM224" s="384">
        <v>40</v>
      </c>
      <c r="DN224" s="384">
        <v>40</v>
      </c>
      <c r="DO224" s="384">
        <v>40</v>
      </c>
      <c r="DP224" s="384">
        <v>40</v>
      </c>
      <c r="DQ224" s="384">
        <v>40</v>
      </c>
      <c r="DR224" s="384">
        <v>40</v>
      </c>
      <c r="DS224" s="384">
        <v>40</v>
      </c>
      <c r="DT224" s="384">
        <v>40</v>
      </c>
      <c r="DU224" s="384">
        <v>40</v>
      </c>
      <c r="DV224" s="384">
        <v>40</v>
      </c>
      <c r="DW224" s="384">
        <v>44</v>
      </c>
      <c r="DX224" s="384">
        <v>48</v>
      </c>
      <c r="DY224" s="384">
        <v>52</v>
      </c>
      <c r="DZ224" s="384">
        <v>52</v>
      </c>
      <c r="EA224" s="384">
        <v>56</v>
      </c>
      <c r="EB224" s="384">
        <v>64</v>
      </c>
      <c r="EC224" s="384">
        <v>80</v>
      </c>
      <c r="ED224" s="384">
        <v>80</v>
      </c>
    </row>
    <row r="225" spans="1:134" x14ac:dyDescent="0.15">
      <c r="A225" s="380">
        <v>2</v>
      </c>
      <c r="B225" s="384">
        <v>40</v>
      </c>
      <c r="C225" s="384">
        <v>40</v>
      </c>
      <c r="D225" s="384">
        <v>40</v>
      </c>
      <c r="E225" s="384">
        <v>40</v>
      </c>
      <c r="F225" s="384">
        <v>40</v>
      </c>
      <c r="G225" s="384">
        <v>40</v>
      </c>
      <c r="H225" s="384">
        <v>40</v>
      </c>
      <c r="I225" s="384">
        <v>40</v>
      </c>
      <c r="J225" s="384">
        <v>40</v>
      </c>
      <c r="K225" s="384">
        <v>40</v>
      </c>
      <c r="L225" s="384">
        <v>40</v>
      </c>
      <c r="M225" s="384">
        <v>40</v>
      </c>
      <c r="N225" s="384">
        <v>40</v>
      </c>
      <c r="O225" s="384">
        <v>40</v>
      </c>
      <c r="P225" s="384">
        <v>44</v>
      </c>
      <c r="Q225" s="384">
        <v>44</v>
      </c>
      <c r="R225" s="384">
        <v>48</v>
      </c>
      <c r="S225" s="384">
        <v>52</v>
      </c>
      <c r="T225" s="384">
        <v>56</v>
      </c>
      <c r="U225" s="384">
        <v>75</v>
      </c>
      <c r="V225" s="384">
        <v>75</v>
      </c>
      <c r="AC225" s="380">
        <v>2</v>
      </c>
      <c r="AD225" s="384">
        <v>40</v>
      </c>
      <c r="AE225" s="384">
        <v>40</v>
      </c>
      <c r="AF225" s="384">
        <v>40</v>
      </c>
      <c r="AG225" s="384">
        <v>40</v>
      </c>
      <c r="AH225" s="384">
        <v>40</v>
      </c>
      <c r="AI225" s="384">
        <v>40</v>
      </c>
      <c r="AJ225" s="384">
        <v>40</v>
      </c>
      <c r="AK225" s="384">
        <v>40</v>
      </c>
      <c r="AL225" s="384">
        <v>40</v>
      </c>
      <c r="AM225" s="384">
        <v>40</v>
      </c>
      <c r="AN225" s="384">
        <v>40</v>
      </c>
      <c r="AO225" s="384">
        <v>40</v>
      </c>
      <c r="AP225" s="384">
        <v>40</v>
      </c>
      <c r="AQ225" s="384">
        <v>44</v>
      </c>
      <c r="AR225" s="384">
        <v>44</v>
      </c>
      <c r="AS225" s="384">
        <v>48</v>
      </c>
      <c r="AT225" s="384">
        <v>48</v>
      </c>
      <c r="AU225" s="384">
        <v>52</v>
      </c>
      <c r="AV225" s="384">
        <v>60</v>
      </c>
      <c r="AW225" s="384">
        <v>77</v>
      </c>
      <c r="AX225" s="384">
        <v>77</v>
      </c>
      <c r="BE225" s="380">
        <v>2</v>
      </c>
      <c r="BF225" s="384">
        <v>40</v>
      </c>
      <c r="BG225" s="384">
        <v>40</v>
      </c>
      <c r="BH225" s="384">
        <v>40</v>
      </c>
      <c r="BI225" s="384">
        <v>40</v>
      </c>
      <c r="BJ225" s="384">
        <v>40</v>
      </c>
      <c r="BK225" s="384">
        <v>40</v>
      </c>
      <c r="BL225" s="384">
        <v>40</v>
      </c>
      <c r="BM225" s="384">
        <v>40</v>
      </c>
      <c r="BN225" s="384">
        <v>40</v>
      </c>
      <c r="BO225" s="384">
        <v>40</v>
      </c>
      <c r="BP225" s="384">
        <v>40</v>
      </c>
      <c r="BQ225" s="384">
        <v>40</v>
      </c>
      <c r="BR225" s="384">
        <v>40</v>
      </c>
      <c r="BS225" s="384">
        <v>44</v>
      </c>
      <c r="BT225" s="384">
        <v>48</v>
      </c>
      <c r="BU225" s="384">
        <v>48</v>
      </c>
      <c r="BV225" s="384">
        <v>48</v>
      </c>
      <c r="BW225" s="384">
        <v>56</v>
      </c>
      <c r="BX225" s="384">
        <v>60</v>
      </c>
      <c r="BY225" s="384">
        <v>78</v>
      </c>
      <c r="BZ225" s="384">
        <v>78</v>
      </c>
      <c r="CG225" s="380">
        <v>2</v>
      </c>
      <c r="CH225" s="384">
        <v>40</v>
      </c>
      <c r="CI225" s="384">
        <v>40</v>
      </c>
      <c r="CJ225" s="384">
        <v>40</v>
      </c>
      <c r="CK225" s="384">
        <v>40</v>
      </c>
      <c r="CL225" s="384">
        <v>40</v>
      </c>
      <c r="CM225" s="384">
        <v>40</v>
      </c>
      <c r="CN225" s="384">
        <v>40</v>
      </c>
      <c r="CO225" s="384">
        <v>40</v>
      </c>
      <c r="CP225" s="384">
        <v>40</v>
      </c>
      <c r="CQ225" s="384">
        <v>40</v>
      </c>
      <c r="CR225" s="384">
        <v>40</v>
      </c>
      <c r="CS225" s="384">
        <v>40</v>
      </c>
      <c r="CT225" s="384">
        <v>40</v>
      </c>
      <c r="CU225" s="384">
        <v>44</v>
      </c>
      <c r="CV225" s="384">
        <v>48</v>
      </c>
      <c r="CW225" s="384">
        <v>48</v>
      </c>
      <c r="CX225" s="384">
        <v>52</v>
      </c>
      <c r="CY225" s="384">
        <v>56</v>
      </c>
      <c r="CZ225" s="384">
        <v>60</v>
      </c>
      <c r="DA225" s="384">
        <v>79</v>
      </c>
      <c r="DB225" s="384">
        <v>79</v>
      </c>
      <c r="DI225" s="380">
        <v>2</v>
      </c>
      <c r="DJ225" s="384">
        <v>44</v>
      </c>
      <c r="DK225" s="384">
        <v>44</v>
      </c>
      <c r="DL225" s="384">
        <v>44</v>
      </c>
      <c r="DM225" s="384">
        <v>44</v>
      </c>
      <c r="DN225" s="384">
        <v>44</v>
      </c>
      <c r="DO225" s="384">
        <v>44</v>
      </c>
      <c r="DP225" s="384">
        <v>44</v>
      </c>
      <c r="DQ225" s="384">
        <v>44</v>
      </c>
      <c r="DR225" s="384">
        <v>44</v>
      </c>
      <c r="DS225" s="384">
        <v>44</v>
      </c>
      <c r="DT225" s="384">
        <v>44</v>
      </c>
      <c r="DU225" s="384">
        <v>44</v>
      </c>
      <c r="DV225" s="384">
        <v>44</v>
      </c>
      <c r="DW225" s="384">
        <v>48</v>
      </c>
      <c r="DX225" s="384">
        <v>52</v>
      </c>
      <c r="DY225" s="384">
        <v>56</v>
      </c>
      <c r="DZ225" s="384">
        <v>56</v>
      </c>
      <c r="EA225" s="384">
        <v>60</v>
      </c>
      <c r="EB225" s="384">
        <v>68</v>
      </c>
      <c r="EC225" s="384">
        <v>82</v>
      </c>
      <c r="ED225" s="384">
        <v>82</v>
      </c>
    </row>
    <row r="226" spans="1:134" x14ac:dyDescent="0.15">
      <c r="A226" s="380">
        <v>3</v>
      </c>
      <c r="B226" s="384">
        <v>40</v>
      </c>
      <c r="C226" s="384">
        <v>40</v>
      </c>
      <c r="D226" s="384">
        <v>40</v>
      </c>
      <c r="E226" s="384">
        <v>40</v>
      </c>
      <c r="F226" s="384">
        <v>40</v>
      </c>
      <c r="G226" s="384">
        <v>40</v>
      </c>
      <c r="H226" s="384">
        <v>40</v>
      </c>
      <c r="I226" s="384">
        <v>40</v>
      </c>
      <c r="J226" s="384">
        <v>40</v>
      </c>
      <c r="K226" s="384">
        <v>40</v>
      </c>
      <c r="L226" s="384">
        <v>40</v>
      </c>
      <c r="M226" s="384">
        <v>40</v>
      </c>
      <c r="N226" s="384">
        <v>40</v>
      </c>
      <c r="O226" s="384">
        <v>40</v>
      </c>
      <c r="P226" s="384">
        <v>44</v>
      </c>
      <c r="Q226" s="384">
        <v>44</v>
      </c>
      <c r="R226" s="384">
        <v>48</v>
      </c>
      <c r="S226" s="384">
        <v>52</v>
      </c>
      <c r="T226" s="384">
        <v>56</v>
      </c>
      <c r="U226" s="384">
        <v>75</v>
      </c>
      <c r="V226" s="384">
        <v>75</v>
      </c>
      <c r="AC226" s="380">
        <v>3</v>
      </c>
      <c r="AD226" s="384">
        <v>40</v>
      </c>
      <c r="AE226" s="384">
        <v>40</v>
      </c>
      <c r="AF226" s="384">
        <v>40</v>
      </c>
      <c r="AG226" s="384">
        <v>40</v>
      </c>
      <c r="AH226" s="384">
        <v>40</v>
      </c>
      <c r="AI226" s="384">
        <v>40</v>
      </c>
      <c r="AJ226" s="384">
        <v>40</v>
      </c>
      <c r="AK226" s="384">
        <v>40</v>
      </c>
      <c r="AL226" s="384">
        <v>40</v>
      </c>
      <c r="AM226" s="384">
        <v>40</v>
      </c>
      <c r="AN226" s="384">
        <v>40</v>
      </c>
      <c r="AO226" s="384">
        <v>40</v>
      </c>
      <c r="AP226" s="384">
        <v>40</v>
      </c>
      <c r="AQ226" s="384">
        <v>44</v>
      </c>
      <c r="AR226" s="384">
        <v>44</v>
      </c>
      <c r="AS226" s="384">
        <v>48</v>
      </c>
      <c r="AT226" s="384">
        <v>48</v>
      </c>
      <c r="AU226" s="384">
        <v>52</v>
      </c>
      <c r="AV226" s="384">
        <v>60</v>
      </c>
      <c r="AW226" s="384">
        <v>77</v>
      </c>
      <c r="AX226" s="384">
        <v>77</v>
      </c>
      <c r="BE226" s="380">
        <v>3</v>
      </c>
      <c r="BF226" s="384">
        <v>40</v>
      </c>
      <c r="BG226" s="384">
        <v>40</v>
      </c>
      <c r="BH226" s="384">
        <v>40</v>
      </c>
      <c r="BI226" s="384">
        <v>40</v>
      </c>
      <c r="BJ226" s="384">
        <v>40</v>
      </c>
      <c r="BK226" s="384">
        <v>40</v>
      </c>
      <c r="BL226" s="384">
        <v>40</v>
      </c>
      <c r="BM226" s="384">
        <v>40</v>
      </c>
      <c r="BN226" s="384">
        <v>40</v>
      </c>
      <c r="BO226" s="384">
        <v>40</v>
      </c>
      <c r="BP226" s="384">
        <v>40</v>
      </c>
      <c r="BQ226" s="384">
        <v>40</v>
      </c>
      <c r="BR226" s="384">
        <v>40</v>
      </c>
      <c r="BS226" s="384">
        <v>44</v>
      </c>
      <c r="BT226" s="384">
        <v>48</v>
      </c>
      <c r="BU226" s="384">
        <v>48</v>
      </c>
      <c r="BV226" s="384">
        <v>48</v>
      </c>
      <c r="BW226" s="384">
        <v>56</v>
      </c>
      <c r="BX226" s="384">
        <v>60</v>
      </c>
      <c r="BY226" s="384">
        <v>78</v>
      </c>
      <c r="BZ226" s="384">
        <v>78</v>
      </c>
      <c r="CG226" s="380">
        <v>3</v>
      </c>
      <c r="CH226" s="384">
        <v>40</v>
      </c>
      <c r="CI226" s="384">
        <v>40</v>
      </c>
      <c r="CJ226" s="384">
        <v>40</v>
      </c>
      <c r="CK226" s="384">
        <v>40</v>
      </c>
      <c r="CL226" s="384">
        <v>40</v>
      </c>
      <c r="CM226" s="384">
        <v>40</v>
      </c>
      <c r="CN226" s="384">
        <v>40</v>
      </c>
      <c r="CO226" s="384">
        <v>40</v>
      </c>
      <c r="CP226" s="384">
        <v>40</v>
      </c>
      <c r="CQ226" s="384">
        <v>40</v>
      </c>
      <c r="CR226" s="384">
        <v>40</v>
      </c>
      <c r="CS226" s="384">
        <v>40</v>
      </c>
      <c r="CT226" s="384">
        <v>40</v>
      </c>
      <c r="CU226" s="384">
        <v>44</v>
      </c>
      <c r="CV226" s="384">
        <v>48</v>
      </c>
      <c r="CW226" s="384">
        <v>48</v>
      </c>
      <c r="CX226" s="384">
        <v>52</v>
      </c>
      <c r="CY226" s="384">
        <v>56</v>
      </c>
      <c r="CZ226" s="384">
        <v>60</v>
      </c>
      <c r="DA226" s="384">
        <v>79</v>
      </c>
      <c r="DB226" s="384">
        <v>79</v>
      </c>
      <c r="DI226" s="380">
        <v>3</v>
      </c>
      <c r="DJ226" s="384">
        <v>44</v>
      </c>
      <c r="DK226" s="384">
        <v>44</v>
      </c>
      <c r="DL226" s="384">
        <v>44</v>
      </c>
      <c r="DM226" s="384">
        <v>44</v>
      </c>
      <c r="DN226" s="384">
        <v>44</v>
      </c>
      <c r="DO226" s="384">
        <v>44</v>
      </c>
      <c r="DP226" s="384">
        <v>44</v>
      </c>
      <c r="DQ226" s="384">
        <v>44</v>
      </c>
      <c r="DR226" s="384">
        <v>44</v>
      </c>
      <c r="DS226" s="384">
        <v>44</v>
      </c>
      <c r="DT226" s="384">
        <v>44</v>
      </c>
      <c r="DU226" s="384">
        <v>44</v>
      </c>
      <c r="DV226" s="384">
        <v>44</v>
      </c>
      <c r="DW226" s="384">
        <v>48</v>
      </c>
      <c r="DX226" s="384">
        <v>52</v>
      </c>
      <c r="DY226" s="384">
        <v>56</v>
      </c>
      <c r="DZ226" s="384">
        <v>56</v>
      </c>
      <c r="EA226" s="384">
        <v>60</v>
      </c>
      <c r="EB226" s="384">
        <v>68</v>
      </c>
      <c r="EC226" s="384">
        <v>82</v>
      </c>
      <c r="ED226" s="384">
        <v>82</v>
      </c>
    </row>
    <row r="227" spans="1:134" x14ac:dyDescent="0.15">
      <c r="A227" s="380">
        <v>4</v>
      </c>
      <c r="B227" s="384">
        <v>40</v>
      </c>
      <c r="C227" s="384">
        <v>40</v>
      </c>
      <c r="D227" s="384">
        <v>40</v>
      </c>
      <c r="E227" s="384">
        <v>40</v>
      </c>
      <c r="F227" s="384">
        <v>40</v>
      </c>
      <c r="G227" s="384">
        <v>40</v>
      </c>
      <c r="H227" s="384">
        <v>40</v>
      </c>
      <c r="I227" s="384">
        <v>40</v>
      </c>
      <c r="J227" s="384">
        <v>40</v>
      </c>
      <c r="K227" s="384">
        <v>40</v>
      </c>
      <c r="L227" s="384">
        <v>40</v>
      </c>
      <c r="M227" s="384">
        <v>40</v>
      </c>
      <c r="N227" s="384">
        <v>40</v>
      </c>
      <c r="O227" s="384">
        <v>40</v>
      </c>
      <c r="P227" s="384">
        <v>44</v>
      </c>
      <c r="Q227" s="384">
        <v>44</v>
      </c>
      <c r="R227" s="384">
        <v>48</v>
      </c>
      <c r="S227" s="384">
        <v>52</v>
      </c>
      <c r="T227" s="384">
        <v>56</v>
      </c>
      <c r="U227" s="384">
        <v>75</v>
      </c>
      <c r="V227" s="384">
        <v>75</v>
      </c>
      <c r="AC227" s="380">
        <v>4</v>
      </c>
      <c r="AD227" s="384">
        <v>40</v>
      </c>
      <c r="AE227" s="384">
        <v>40</v>
      </c>
      <c r="AF227" s="384">
        <v>40</v>
      </c>
      <c r="AG227" s="384">
        <v>40</v>
      </c>
      <c r="AH227" s="384">
        <v>40</v>
      </c>
      <c r="AI227" s="384">
        <v>40</v>
      </c>
      <c r="AJ227" s="384">
        <v>40</v>
      </c>
      <c r="AK227" s="384">
        <v>40</v>
      </c>
      <c r="AL227" s="384">
        <v>40</v>
      </c>
      <c r="AM227" s="384">
        <v>40</v>
      </c>
      <c r="AN227" s="384">
        <v>40</v>
      </c>
      <c r="AO227" s="384">
        <v>40</v>
      </c>
      <c r="AP227" s="384">
        <v>40</v>
      </c>
      <c r="AQ227" s="384">
        <v>44</v>
      </c>
      <c r="AR227" s="384">
        <v>44</v>
      </c>
      <c r="AS227" s="384">
        <v>48</v>
      </c>
      <c r="AT227" s="384">
        <v>48</v>
      </c>
      <c r="AU227" s="384">
        <v>52</v>
      </c>
      <c r="AV227" s="384">
        <v>60</v>
      </c>
      <c r="AW227" s="384">
        <v>77</v>
      </c>
      <c r="AX227" s="384">
        <v>77</v>
      </c>
      <c r="BE227" s="380">
        <v>4</v>
      </c>
      <c r="BF227" s="384">
        <v>40</v>
      </c>
      <c r="BG227" s="384">
        <v>40</v>
      </c>
      <c r="BH227" s="384">
        <v>40</v>
      </c>
      <c r="BI227" s="384">
        <v>40</v>
      </c>
      <c r="BJ227" s="384">
        <v>40</v>
      </c>
      <c r="BK227" s="384">
        <v>40</v>
      </c>
      <c r="BL227" s="384">
        <v>40</v>
      </c>
      <c r="BM227" s="384">
        <v>40</v>
      </c>
      <c r="BN227" s="384">
        <v>40</v>
      </c>
      <c r="BO227" s="384">
        <v>40</v>
      </c>
      <c r="BP227" s="384">
        <v>40</v>
      </c>
      <c r="BQ227" s="384">
        <v>40</v>
      </c>
      <c r="BR227" s="384">
        <v>40</v>
      </c>
      <c r="BS227" s="384">
        <v>44</v>
      </c>
      <c r="BT227" s="384">
        <v>48</v>
      </c>
      <c r="BU227" s="384">
        <v>48</v>
      </c>
      <c r="BV227" s="384">
        <v>48</v>
      </c>
      <c r="BW227" s="384">
        <v>56</v>
      </c>
      <c r="BX227" s="384">
        <v>60</v>
      </c>
      <c r="BY227" s="384">
        <v>78</v>
      </c>
      <c r="BZ227" s="384">
        <v>78</v>
      </c>
      <c r="CG227" s="380">
        <v>4</v>
      </c>
      <c r="CH227" s="384">
        <v>40</v>
      </c>
      <c r="CI227" s="384">
        <v>40</v>
      </c>
      <c r="CJ227" s="384">
        <v>40</v>
      </c>
      <c r="CK227" s="384">
        <v>40</v>
      </c>
      <c r="CL227" s="384">
        <v>40</v>
      </c>
      <c r="CM227" s="384">
        <v>40</v>
      </c>
      <c r="CN227" s="384">
        <v>40</v>
      </c>
      <c r="CO227" s="384">
        <v>40</v>
      </c>
      <c r="CP227" s="384">
        <v>40</v>
      </c>
      <c r="CQ227" s="384">
        <v>40</v>
      </c>
      <c r="CR227" s="384">
        <v>40</v>
      </c>
      <c r="CS227" s="384">
        <v>40</v>
      </c>
      <c r="CT227" s="384">
        <v>40</v>
      </c>
      <c r="CU227" s="384">
        <v>44</v>
      </c>
      <c r="CV227" s="384">
        <v>48</v>
      </c>
      <c r="CW227" s="384">
        <v>48</v>
      </c>
      <c r="CX227" s="384">
        <v>52</v>
      </c>
      <c r="CY227" s="384">
        <v>56</v>
      </c>
      <c r="CZ227" s="384">
        <v>60</v>
      </c>
      <c r="DA227" s="384">
        <v>79</v>
      </c>
      <c r="DB227" s="384">
        <v>79</v>
      </c>
      <c r="DI227" s="380">
        <v>4</v>
      </c>
      <c r="DJ227" s="384">
        <v>44</v>
      </c>
      <c r="DK227" s="384">
        <v>44</v>
      </c>
      <c r="DL227" s="384">
        <v>44</v>
      </c>
      <c r="DM227" s="384">
        <v>44</v>
      </c>
      <c r="DN227" s="384">
        <v>44</v>
      </c>
      <c r="DO227" s="384">
        <v>44</v>
      </c>
      <c r="DP227" s="384">
        <v>44</v>
      </c>
      <c r="DQ227" s="384">
        <v>44</v>
      </c>
      <c r="DR227" s="384">
        <v>44</v>
      </c>
      <c r="DS227" s="384">
        <v>44</v>
      </c>
      <c r="DT227" s="384">
        <v>44</v>
      </c>
      <c r="DU227" s="384">
        <v>44</v>
      </c>
      <c r="DV227" s="384">
        <v>44</v>
      </c>
      <c r="DW227" s="384">
        <v>48</v>
      </c>
      <c r="DX227" s="384">
        <v>52</v>
      </c>
      <c r="DY227" s="384">
        <v>56</v>
      </c>
      <c r="DZ227" s="384">
        <v>56</v>
      </c>
      <c r="EA227" s="384">
        <v>60</v>
      </c>
      <c r="EB227" s="384">
        <v>68</v>
      </c>
      <c r="EC227" s="384">
        <v>82</v>
      </c>
      <c r="ED227" s="384">
        <v>82</v>
      </c>
    </row>
    <row r="228" spans="1:134" x14ac:dyDescent="0.15">
      <c r="A228" s="380">
        <v>5</v>
      </c>
      <c r="B228" s="384">
        <v>40</v>
      </c>
      <c r="C228" s="384">
        <v>40</v>
      </c>
      <c r="D228" s="384">
        <v>40</v>
      </c>
      <c r="E228" s="384">
        <v>40</v>
      </c>
      <c r="F228" s="384">
        <v>40</v>
      </c>
      <c r="G228" s="384">
        <v>40</v>
      </c>
      <c r="H228" s="384">
        <v>40</v>
      </c>
      <c r="I228" s="384">
        <v>40</v>
      </c>
      <c r="J228" s="384">
        <v>40</v>
      </c>
      <c r="K228" s="384">
        <v>40</v>
      </c>
      <c r="L228" s="384">
        <v>40</v>
      </c>
      <c r="M228" s="384">
        <v>40</v>
      </c>
      <c r="N228" s="384">
        <v>40</v>
      </c>
      <c r="O228" s="384">
        <v>40</v>
      </c>
      <c r="P228" s="384">
        <v>44</v>
      </c>
      <c r="Q228" s="384">
        <v>44</v>
      </c>
      <c r="R228" s="384">
        <v>48</v>
      </c>
      <c r="S228" s="384">
        <v>52</v>
      </c>
      <c r="T228" s="384">
        <v>56</v>
      </c>
      <c r="U228" s="384">
        <v>75</v>
      </c>
      <c r="V228" s="384">
        <v>75</v>
      </c>
      <c r="AC228" s="380">
        <v>5</v>
      </c>
      <c r="AD228" s="384">
        <v>40</v>
      </c>
      <c r="AE228" s="384">
        <v>40</v>
      </c>
      <c r="AF228" s="384">
        <v>40</v>
      </c>
      <c r="AG228" s="384">
        <v>40</v>
      </c>
      <c r="AH228" s="384">
        <v>40</v>
      </c>
      <c r="AI228" s="384">
        <v>40</v>
      </c>
      <c r="AJ228" s="384">
        <v>40</v>
      </c>
      <c r="AK228" s="384">
        <v>40</v>
      </c>
      <c r="AL228" s="384">
        <v>40</v>
      </c>
      <c r="AM228" s="384">
        <v>40</v>
      </c>
      <c r="AN228" s="384">
        <v>40</v>
      </c>
      <c r="AO228" s="384">
        <v>40</v>
      </c>
      <c r="AP228" s="384">
        <v>40</v>
      </c>
      <c r="AQ228" s="384">
        <v>44</v>
      </c>
      <c r="AR228" s="384">
        <v>44</v>
      </c>
      <c r="AS228" s="384">
        <v>48</v>
      </c>
      <c r="AT228" s="384">
        <v>48</v>
      </c>
      <c r="AU228" s="384">
        <v>52</v>
      </c>
      <c r="AV228" s="384">
        <v>60</v>
      </c>
      <c r="AW228" s="384">
        <v>77</v>
      </c>
      <c r="AX228" s="384">
        <v>77</v>
      </c>
      <c r="BE228" s="380">
        <v>5</v>
      </c>
      <c r="BF228" s="384">
        <v>40</v>
      </c>
      <c r="BG228" s="384">
        <v>40</v>
      </c>
      <c r="BH228" s="384">
        <v>40</v>
      </c>
      <c r="BI228" s="384">
        <v>40</v>
      </c>
      <c r="BJ228" s="384">
        <v>40</v>
      </c>
      <c r="BK228" s="384">
        <v>40</v>
      </c>
      <c r="BL228" s="384">
        <v>40</v>
      </c>
      <c r="BM228" s="384">
        <v>40</v>
      </c>
      <c r="BN228" s="384">
        <v>40</v>
      </c>
      <c r="BO228" s="384">
        <v>40</v>
      </c>
      <c r="BP228" s="384">
        <v>40</v>
      </c>
      <c r="BQ228" s="384">
        <v>40</v>
      </c>
      <c r="BR228" s="384">
        <v>40</v>
      </c>
      <c r="BS228" s="384">
        <v>44</v>
      </c>
      <c r="BT228" s="384">
        <v>48</v>
      </c>
      <c r="BU228" s="384">
        <v>48</v>
      </c>
      <c r="BV228" s="384">
        <v>48</v>
      </c>
      <c r="BW228" s="384">
        <v>56</v>
      </c>
      <c r="BX228" s="384">
        <v>60</v>
      </c>
      <c r="BY228" s="395">
        <v>78</v>
      </c>
      <c r="BZ228" s="395">
        <v>78</v>
      </c>
      <c r="CG228" s="380">
        <v>5</v>
      </c>
      <c r="CH228" s="384">
        <v>44</v>
      </c>
      <c r="CI228" s="384">
        <v>44</v>
      </c>
      <c r="CJ228" s="384">
        <v>44</v>
      </c>
      <c r="CK228" s="384">
        <v>44</v>
      </c>
      <c r="CL228" s="384">
        <v>44</v>
      </c>
      <c r="CM228" s="384">
        <v>44</v>
      </c>
      <c r="CN228" s="384">
        <v>44</v>
      </c>
      <c r="CO228" s="384">
        <v>44</v>
      </c>
      <c r="CP228" s="384">
        <v>44</v>
      </c>
      <c r="CQ228" s="384">
        <v>44</v>
      </c>
      <c r="CR228" s="384">
        <v>44</v>
      </c>
      <c r="CS228" s="384">
        <v>44</v>
      </c>
      <c r="CT228" s="384">
        <v>44</v>
      </c>
      <c r="CU228" s="384">
        <v>48</v>
      </c>
      <c r="CV228" s="384">
        <v>52</v>
      </c>
      <c r="CW228" s="384">
        <v>52</v>
      </c>
      <c r="CX228" s="384">
        <v>56</v>
      </c>
      <c r="CY228" s="384">
        <v>60</v>
      </c>
      <c r="CZ228" s="384">
        <v>64</v>
      </c>
      <c r="DA228" s="384">
        <v>82</v>
      </c>
      <c r="DB228" s="384">
        <v>82</v>
      </c>
      <c r="DI228" s="380">
        <v>5</v>
      </c>
      <c r="DJ228" s="384">
        <v>48</v>
      </c>
      <c r="DK228" s="384">
        <v>48</v>
      </c>
      <c r="DL228" s="384">
        <v>48</v>
      </c>
      <c r="DM228" s="384">
        <v>48</v>
      </c>
      <c r="DN228" s="384">
        <v>48</v>
      </c>
      <c r="DO228" s="384">
        <v>48</v>
      </c>
      <c r="DP228" s="384">
        <v>48</v>
      </c>
      <c r="DQ228" s="384">
        <v>48</v>
      </c>
      <c r="DR228" s="384">
        <v>48</v>
      </c>
      <c r="DS228" s="384">
        <v>48</v>
      </c>
      <c r="DT228" s="384">
        <v>48</v>
      </c>
      <c r="DU228" s="384">
        <v>48</v>
      </c>
      <c r="DV228" s="384">
        <v>48</v>
      </c>
      <c r="DW228" s="384">
        <v>52</v>
      </c>
      <c r="DX228" s="384">
        <v>56</v>
      </c>
      <c r="DY228" s="384">
        <v>60</v>
      </c>
      <c r="DZ228" s="384">
        <v>60</v>
      </c>
      <c r="EA228" s="384">
        <v>64</v>
      </c>
      <c r="EB228" s="384">
        <v>71</v>
      </c>
      <c r="EC228" s="384">
        <v>85</v>
      </c>
      <c r="ED228" s="384">
        <v>85</v>
      </c>
    </row>
    <row r="229" spans="1:134" x14ac:dyDescent="0.15">
      <c r="A229" s="380">
        <v>6</v>
      </c>
      <c r="B229" s="384">
        <v>40</v>
      </c>
      <c r="C229" s="384">
        <v>40</v>
      </c>
      <c r="D229" s="384">
        <v>40</v>
      </c>
      <c r="E229" s="384">
        <v>40</v>
      </c>
      <c r="F229" s="384">
        <v>40</v>
      </c>
      <c r="G229" s="384">
        <v>40</v>
      </c>
      <c r="H229" s="384">
        <v>40</v>
      </c>
      <c r="I229" s="384">
        <v>40</v>
      </c>
      <c r="J229" s="384">
        <v>40</v>
      </c>
      <c r="K229" s="384">
        <v>40</v>
      </c>
      <c r="L229" s="384">
        <v>40</v>
      </c>
      <c r="M229" s="384">
        <v>40</v>
      </c>
      <c r="N229" s="384">
        <v>40</v>
      </c>
      <c r="O229" s="384">
        <v>40</v>
      </c>
      <c r="P229" s="384">
        <v>44</v>
      </c>
      <c r="Q229" s="384">
        <v>44</v>
      </c>
      <c r="R229" s="384">
        <v>48</v>
      </c>
      <c r="S229" s="384">
        <v>52</v>
      </c>
      <c r="T229" s="384">
        <v>56</v>
      </c>
      <c r="U229" s="384">
        <v>75</v>
      </c>
      <c r="V229" s="384">
        <v>75</v>
      </c>
      <c r="AC229" s="380">
        <v>6</v>
      </c>
      <c r="AD229" s="384">
        <v>40</v>
      </c>
      <c r="AE229" s="384">
        <v>40</v>
      </c>
      <c r="AF229" s="384">
        <v>40</v>
      </c>
      <c r="AG229" s="384">
        <v>40</v>
      </c>
      <c r="AH229" s="384">
        <v>40</v>
      </c>
      <c r="AI229" s="384">
        <v>40</v>
      </c>
      <c r="AJ229" s="384">
        <v>40</v>
      </c>
      <c r="AK229" s="384">
        <v>40</v>
      </c>
      <c r="AL229" s="384">
        <v>40</v>
      </c>
      <c r="AM229" s="384">
        <v>40</v>
      </c>
      <c r="AN229" s="384">
        <v>40</v>
      </c>
      <c r="AO229" s="384">
        <v>40</v>
      </c>
      <c r="AP229" s="384">
        <v>40</v>
      </c>
      <c r="AQ229" s="384">
        <v>44</v>
      </c>
      <c r="AR229" s="384">
        <v>44</v>
      </c>
      <c r="AS229" s="384">
        <v>48</v>
      </c>
      <c r="AT229" s="384">
        <v>48</v>
      </c>
      <c r="AU229" s="384">
        <v>52</v>
      </c>
      <c r="AV229" s="384">
        <v>60</v>
      </c>
      <c r="AW229" s="384">
        <v>77</v>
      </c>
      <c r="AX229" s="384">
        <v>77</v>
      </c>
      <c r="BE229" s="380">
        <v>6</v>
      </c>
      <c r="BF229" s="384">
        <v>40</v>
      </c>
      <c r="BG229" s="384">
        <v>40</v>
      </c>
      <c r="BH229" s="384">
        <v>40</v>
      </c>
      <c r="BI229" s="384">
        <v>40</v>
      </c>
      <c r="BJ229" s="384">
        <v>40</v>
      </c>
      <c r="BK229" s="384">
        <v>40</v>
      </c>
      <c r="BL229" s="384">
        <v>40</v>
      </c>
      <c r="BM229" s="384">
        <v>40</v>
      </c>
      <c r="BN229" s="384">
        <v>40</v>
      </c>
      <c r="BO229" s="384">
        <v>40</v>
      </c>
      <c r="BP229" s="384">
        <v>40</v>
      </c>
      <c r="BQ229" s="384">
        <v>40</v>
      </c>
      <c r="BR229" s="384">
        <v>40</v>
      </c>
      <c r="BS229" s="384">
        <v>44</v>
      </c>
      <c r="BT229" s="384">
        <v>48</v>
      </c>
      <c r="BU229" s="384">
        <v>48</v>
      </c>
      <c r="BV229" s="384">
        <v>48</v>
      </c>
      <c r="BW229" s="384">
        <v>56</v>
      </c>
      <c r="BX229" s="384">
        <v>60</v>
      </c>
      <c r="BY229" s="384">
        <v>78</v>
      </c>
      <c r="BZ229" s="384">
        <v>78</v>
      </c>
      <c r="CG229" s="380">
        <v>6</v>
      </c>
      <c r="CH229" s="384">
        <v>44</v>
      </c>
      <c r="CI229" s="384">
        <v>44</v>
      </c>
      <c r="CJ229" s="384">
        <v>44</v>
      </c>
      <c r="CK229" s="384">
        <v>44</v>
      </c>
      <c r="CL229" s="384">
        <v>44</v>
      </c>
      <c r="CM229" s="384">
        <v>44</v>
      </c>
      <c r="CN229" s="384">
        <v>44</v>
      </c>
      <c r="CO229" s="384">
        <v>44</v>
      </c>
      <c r="CP229" s="384">
        <v>44</v>
      </c>
      <c r="CQ229" s="384">
        <v>44</v>
      </c>
      <c r="CR229" s="384">
        <v>44</v>
      </c>
      <c r="CS229" s="384">
        <v>44</v>
      </c>
      <c r="CT229" s="384">
        <v>44</v>
      </c>
      <c r="CU229" s="384">
        <v>48</v>
      </c>
      <c r="CV229" s="384">
        <v>52</v>
      </c>
      <c r="CW229" s="384">
        <v>52</v>
      </c>
      <c r="CX229" s="384">
        <v>56</v>
      </c>
      <c r="CY229" s="384">
        <v>60</v>
      </c>
      <c r="CZ229" s="384">
        <v>64</v>
      </c>
      <c r="DA229" s="384">
        <v>82</v>
      </c>
      <c r="DB229" s="384">
        <v>82</v>
      </c>
      <c r="DI229" s="380">
        <v>6</v>
      </c>
      <c r="DJ229" s="384">
        <v>48</v>
      </c>
      <c r="DK229" s="384">
        <v>48</v>
      </c>
      <c r="DL229" s="384">
        <v>48</v>
      </c>
      <c r="DM229" s="384">
        <v>48</v>
      </c>
      <c r="DN229" s="384">
        <v>48</v>
      </c>
      <c r="DO229" s="384">
        <v>48</v>
      </c>
      <c r="DP229" s="384">
        <v>48</v>
      </c>
      <c r="DQ229" s="384">
        <v>48</v>
      </c>
      <c r="DR229" s="384">
        <v>48</v>
      </c>
      <c r="DS229" s="384">
        <v>48</v>
      </c>
      <c r="DT229" s="384">
        <v>48</v>
      </c>
      <c r="DU229" s="384">
        <v>48</v>
      </c>
      <c r="DV229" s="384">
        <v>48</v>
      </c>
      <c r="DW229" s="384">
        <v>52</v>
      </c>
      <c r="DX229" s="384">
        <v>56</v>
      </c>
      <c r="DY229" s="384">
        <v>60</v>
      </c>
      <c r="DZ229" s="384">
        <v>60</v>
      </c>
      <c r="EA229" s="384">
        <v>64</v>
      </c>
      <c r="EB229" s="384">
        <v>71</v>
      </c>
      <c r="EC229" s="384">
        <v>85</v>
      </c>
      <c r="ED229" s="384">
        <v>85</v>
      </c>
    </row>
    <row r="230" spans="1:134" x14ac:dyDescent="0.15">
      <c r="A230" s="380">
        <v>7</v>
      </c>
      <c r="B230" s="384">
        <v>40</v>
      </c>
      <c r="C230" s="384">
        <v>40</v>
      </c>
      <c r="D230" s="384">
        <v>40</v>
      </c>
      <c r="E230" s="384">
        <v>40</v>
      </c>
      <c r="F230" s="384">
        <v>40</v>
      </c>
      <c r="G230" s="384">
        <v>40</v>
      </c>
      <c r="H230" s="384">
        <v>40</v>
      </c>
      <c r="I230" s="384">
        <v>40</v>
      </c>
      <c r="J230" s="384">
        <v>40</v>
      </c>
      <c r="K230" s="384">
        <v>40</v>
      </c>
      <c r="L230" s="384">
        <v>40</v>
      </c>
      <c r="M230" s="384">
        <v>40</v>
      </c>
      <c r="N230" s="384">
        <v>40</v>
      </c>
      <c r="O230" s="384">
        <v>40</v>
      </c>
      <c r="P230" s="384">
        <v>44</v>
      </c>
      <c r="Q230" s="384">
        <v>44</v>
      </c>
      <c r="R230" s="384">
        <v>48</v>
      </c>
      <c r="S230" s="384">
        <v>52</v>
      </c>
      <c r="T230" s="384">
        <v>56</v>
      </c>
      <c r="U230" s="384">
        <v>75</v>
      </c>
      <c r="V230" s="384">
        <v>75</v>
      </c>
      <c r="AC230" s="380">
        <v>7</v>
      </c>
      <c r="AD230" s="384">
        <v>40</v>
      </c>
      <c r="AE230" s="384">
        <v>40</v>
      </c>
      <c r="AF230" s="384">
        <v>40</v>
      </c>
      <c r="AG230" s="384">
        <v>40</v>
      </c>
      <c r="AH230" s="384">
        <v>40</v>
      </c>
      <c r="AI230" s="384">
        <v>40</v>
      </c>
      <c r="AJ230" s="384">
        <v>40</v>
      </c>
      <c r="AK230" s="384">
        <v>40</v>
      </c>
      <c r="AL230" s="384">
        <v>40</v>
      </c>
      <c r="AM230" s="384">
        <v>40</v>
      </c>
      <c r="AN230" s="384">
        <v>40</v>
      </c>
      <c r="AO230" s="384">
        <v>40</v>
      </c>
      <c r="AP230" s="384">
        <v>40</v>
      </c>
      <c r="AQ230" s="384">
        <v>44</v>
      </c>
      <c r="AR230" s="384">
        <v>44</v>
      </c>
      <c r="AS230" s="384">
        <v>48</v>
      </c>
      <c r="AT230" s="384">
        <v>48</v>
      </c>
      <c r="AU230" s="384">
        <v>52</v>
      </c>
      <c r="AV230" s="384">
        <v>60</v>
      </c>
      <c r="AW230" s="384">
        <v>77</v>
      </c>
      <c r="AX230" s="384">
        <v>77</v>
      </c>
      <c r="BE230" s="380">
        <v>7</v>
      </c>
      <c r="BF230" s="384">
        <v>44</v>
      </c>
      <c r="BG230" s="384">
        <v>44</v>
      </c>
      <c r="BH230" s="384">
        <v>44</v>
      </c>
      <c r="BI230" s="384">
        <v>44</v>
      </c>
      <c r="BJ230" s="384">
        <v>44</v>
      </c>
      <c r="BK230" s="384">
        <v>44</v>
      </c>
      <c r="BL230" s="384">
        <v>44</v>
      </c>
      <c r="BM230" s="384">
        <v>44</v>
      </c>
      <c r="BN230" s="384">
        <v>44</v>
      </c>
      <c r="BO230" s="384">
        <v>44</v>
      </c>
      <c r="BP230" s="384">
        <v>44</v>
      </c>
      <c r="BQ230" s="384">
        <v>44</v>
      </c>
      <c r="BR230" s="384">
        <v>44</v>
      </c>
      <c r="BS230" s="384">
        <v>48</v>
      </c>
      <c r="BT230" s="384">
        <v>52</v>
      </c>
      <c r="BU230" s="384">
        <v>52</v>
      </c>
      <c r="BV230" s="384">
        <v>52</v>
      </c>
      <c r="BW230" s="384">
        <v>60</v>
      </c>
      <c r="BX230" s="384">
        <v>64</v>
      </c>
      <c r="BY230" s="384">
        <v>81</v>
      </c>
      <c r="BZ230" s="384">
        <v>81</v>
      </c>
      <c r="CG230" s="380">
        <v>7</v>
      </c>
      <c r="CH230" s="384">
        <v>44</v>
      </c>
      <c r="CI230" s="384">
        <v>44</v>
      </c>
      <c r="CJ230" s="384">
        <v>44</v>
      </c>
      <c r="CK230" s="384">
        <v>44</v>
      </c>
      <c r="CL230" s="384">
        <v>44</v>
      </c>
      <c r="CM230" s="384">
        <v>44</v>
      </c>
      <c r="CN230" s="384">
        <v>44</v>
      </c>
      <c r="CO230" s="384">
        <v>44</v>
      </c>
      <c r="CP230" s="384">
        <v>44</v>
      </c>
      <c r="CQ230" s="384">
        <v>44</v>
      </c>
      <c r="CR230" s="384">
        <v>44</v>
      </c>
      <c r="CS230" s="384">
        <v>44</v>
      </c>
      <c r="CT230" s="384">
        <v>44</v>
      </c>
      <c r="CU230" s="384">
        <v>48</v>
      </c>
      <c r="CV230" s="384">
        <v>52</v>
      </c>
      <c r="CW230" s="384">
        <v>52</v>
      </c>
      <c r="CX230" s="384">
        <v>56</v>
      </c>
      <c r="CY230" s="384">
        <v>60</v>
      </c>
      <c r="CZ230" s="384">
        <v>64</v>
      </c>
      <c r="DA230" s="384">
        <v>82</v>
      </c>
      <c r="DB230" s="384">
        <v>82</v>
      </c>
      <c r="DI230" s="380">
        <v>7</v>
      </c>
      <c r="DJ230" s="384">
        <v>48</v>
      </c>
      <c r="DK230" s="384">
        <v>48</v>
      </c>
      <c r="DL230" s="384">
        <v>48</v>
      </c>
      <c r="DM230" s="384">
        <v>48</v>
      </c>
      <c r="DN230" s="384">
        <v>48</v>
      </c>
      <c r="DO230" s="384">
        <v>48</v>
      </c>
      <c r="DP230" s="384">
        <v>48</v>
      </c>
      <c r="DQ230" s="384">
        <v>48</v>
      </c>
      <c r="DR230" s="384">
        <v>48</v>
      </c>
      <c r="DS230" s="384">
        <v>48</v>
      </c>
      <c r="DT230" s="384">
        <v>48</v>
      </c>
      <c r="DU230" s="384">
        <v>48</v>
      </c>
      <c r="DV230" s="384">
        <v>48</v>
      </c>
      <c r="DW230" s="384">
        <v>52</v>
      </c>
      <c r="DX230" s="384">
        <v>56</v>
      </c>
      <c r="DY230" s="384">
        <v>60</v>
      </c>
      <c r="DZ230" s="384">
        <v>60</v>
      </c>
      <c r="EA230" s="384">
        <v>64</v>
      </c>
      <c r="EB230" s="384">
        <v>71</v>
      </c>
      <c r="EC230" s="384">
        <v>85</v>
      </c>
      <c r="ED230" s="384">
        <v>85</v>
      </c>
    </row>
    <row r="231" spans="1:134" x14ac:dyDescent="0.15">
      <c r="A231" s="380">
        <v>8</v>
      </c>
      <c r="B231" s="384">
        <v>40</v>
      </c>
      <c r="C231" s="384">
        <v>40</v>
      </c>
      <c r="D231" s="384">
        <v>40</v>
      </c>
      <c r="E231" s="384">
        <v>40</v>
      </c>
      <c r="F231" s="384">
        <v>40</v>
      </c>
      <c r="G231" s="384">
        <v>40</v>
      </c>
      <c r="H231" s="384">
        <v>40</v>
      </c>
      <c r="I231" s="384">
        <v>40</v>
      </c>
      <c r="J231" s="384">
        <v>40</v>
      </c>
      <c r="K231" s="384">
        <v>40</v>
      </c>
      <c r="L231" s="384">
        <v>40</v>
      </c>
      <c r="M231" s="384">
        <v>40</v>
      </c>
      <c r="N231" s="384">
        <v>40</v>
      </c>
      <c r="O231" s="384">
        <v>40</v>
      </c>
      <c r="P231" s="384">
        <v>44</v>
      </c>
      <c r="Q231" s="384">
        <v>44</v>
      </c>
      <c r="R231" s="384">
        <v>48</v>
      </c>
      <c r="S231" s="384">
        <v>52</v>
      </c>
      <c r="T231" s="384">
        <v>56</v>
      </c>
      <c r="U231" s="384">
        <v>75</v>
      </c>
      <c r="V231" s="384">
        <v>75</v>
      </c>
      <c r="AC231" s="380">
        <v>8</v>
      </c>
      <c r="AD231" s="384">
        <v>44</v>
      </c>
      <c r="AE231" s="384">
        <v>44</v>
      </c>
      <c r="AF231" s="384">
        <v>44</v>
      </c>
      <c r="AG231" s="384">
        <v>44</v>
      </c>
      <c r="AH231" s="384">
        <v>44</v>
      </c>
      <c r="AI231" s="384">
        <v>44</v>
      </c>
      <c r="AJ231" s="384">
        <v>44</v>
      </c>
      <c r="AK231" s="384">
        <v>44</v>
      </c>
      <c r="AL231" s="384">
        <v>44</v>
      </c>
      <c r="AM231" s="384">
        <v>44</v>
      </c>
      <c r="AN231" s="384">
        <v>44</v>
      </c>
      <c r="AO231" s="384">
        <v>44</v>
      </c>
      <c r="AP231" s="384">
        <v>44</v>
      </c>
      <c r="AQ231" s="384">
        <v>48</v>
      </c>
      <c r="AR231" s="384">
        <v>48</v>
      </c>
      <c r="AS231" s="384">
        <v>52</v>
      </c>
      <c r="AT231" s="384">
        <v>52</v>
      </c>
      <c r="AU231" s="384">
        <v>56</v>
      </c>
      <c r="AV231" s="384">
        <v>64</v>
      </c>
      <c r="AW231" s="384">
        <v>80</v>
      </c>
      <c r="AX231" s="384">
        <v>80</v>
      </c>
      <c r="BE231" s="380">
        <v>8</v>
      </c>
      <c r="BF231" s="384">
        <v>44</v>
      </c>
      <c r="BG231" s="384">
        <v>44</v>
      </c>
      <c r="BH231" s="384">
        <v>44</v>
      </c>
      <c r="BI231" s="384">
        <v>44</v>
      </c>
      <c r="BJ231" s="384">
        <v>44</v>
      </c>
      <c r="BK231" s="384">
        <v>44</v>
      </c>
      <c r="BL231" s="384">
        <v>44</v>
      </c>
      <c r="BM231" s="384">
        <v>44</v>
      </c>
      <c r="BN231" s="384">
        <v>44</v>
      </c>
      <c r="BO231" s="384">
        <v>44</v>
      </c>
      <c r="BP231" s="384">
        <v>44</v>
      </c>
      <c r="BQ231" s="384">
        <v>44</v>
      </c>
      <c r="BR231" s="384">
        <v>44</v>
      </c>
      <c r="BS231" s="384">
        <v>48</v>
      </c>
      <c r="BT231" s="384">
        <v>52</v>
      </c>
      <c r="BU231" s="384">
        <v>52</v>
      </c>
      <c r="BV231" s="384">
        <v>52</v>
      </c>
      <c r="BW231" s="384">
        <v>60</v>
      </c>
      <c r="BX231" s="384">
        <v>64</v>
      </c>
      <c r="BY231" s="384">
        <v>81</v>
      </c>
      <c r="BZ231" s="384">
        <v>81</v>
      </c>
      <c r="CG231" s="380">
        <v>8</v>
      </c>
      <c r="CH231" s="384">
        <v>44</v>
      </c>
      <c r="CI231" s="384">
        <v>44</v>
      </c>
      <c r="CJ231" s="384">
        <v>44</v>
      </c>
      <c r="CK231" s="384">
        <v>44</v>
      </c>
      <c r="CL231" s="384">
        <v>44</v>
      </c>
      <c r="CM231" s="384">
        <v>44</v>
      </c>
      <c r="CN231" s="384">
        <v>44</v>
      </c>
      <c r="CO231" s="384">
        <v>44</v>
      </c>
      <c r="CP231" s="384">
        <v>44</v>
      </c>
      <c r="CQ231" s="384">
        <v>44</v>
      </c>
      <c r="CR231" s="384">
        <v>44</v>
      </c>
      <c r="CS231" s="384">
        <v>44</v>
      </c>
      <c r="CT231" s="384">
        <v>44</v>
      </c>
      <c r="CU231" s="384">
        <v>48</v>
      </c>
      <c r="CV231" s="384">
        <v>52</v>
      </c>
      <c r="CW231" s="384">
        <v>52</v>
      </c>
      <c r="CX231" s="384">
        <v>56</v>
      </c>
      <c r="CY231" s="384">
        <v>60</v>
      </c>
      <c r="CZ231" s="384">
        <v>64</v>
      </c>
      <c r="DA231" s="384">
        <v>82</v>
      </c>
      <c r="DB231" s="384">
        <v>82</v>
      </c>
      <c r="DI231" s="380">
        <v>8</v>
      </c>
      <c r="DJ231" s="384">
        <v>52</v>
      </c>
      <c r="DK231" s="384">
        <v>52</v>
      </c>
      <c r="DL231" s="384">
        <v>52</v>
      </c>
      <c r="DM231" s="384">
        <v>52</v>
      </c>
      <c r="DN231" s="384">
        <v>52</v>
      </c>
      <c r="DO231" s="384">
        <v>52</v>
      </c>
      <c r="DP231" s="384">
        <v>52</v>
      </c>
      <c r="DQ231" s="384">
        <v>52</v>
      </c>
      <c r="DR231" s="384">
        <v>52</v>
      </c>
      <c r="DS231" s="384">
        <v>52</v>
      </c>
      <c r="DT231" s="384">
        <v>52</v>
      </c>
      <c r="DU231" s="384">
        <v>52</v>
      </c>
      <c r="DV231" s="384">
        <v>52</v>
      </c>
      <c r="DW231" s="384">
        <v>56</v>
      </c>
      <c r="DX231" s="384">
        <v>60</v>
      </c>
      <c r="DY231" s="384">
        <v>64</v>
      </c>
      <c r="DZ231" s="384">
        <v>64</v>
      </c>
      <c r="EA231" s="384">
        <v>68</v>
      </c>
      <c r="EB231" s="384">
        <v>75</v>
      </c>
      <c r="EC231" s="384">
        <v>88</v>
      </c>
      <c r="ED231" s="384">
        <v>88</v>
      </c>
    </row>
    <row r="232" spans="1:134" x14ac:dyDescent="0.15">
      <c r="A232" s="380">
        <v>9</v>
      </c>
      <c r="B232" s="384">
        <v>40</v>
      </c>
      <c r="C232" s="384">
        <v>40</v>
      </c>
      <c r="D232" s="384">
        <v>40</v>
      </c>
      <c r="E232" s="384">
        <v>40</v>
      </c>
      <c r="F232" s="384">
        <v>40</v>
      </c>
      <c r="G232" s="384">
        <v>40</v>
      </c>
      <c r="H232" s="384">
        <v>40</v>
      </c>
      <c r="I232" s="384">
        <v>40</v>
      </c>
      <c r="J232" s="384">
        <v>40</v>
      </c>
      <c r="K232" s="384">
        <v>40</v>
      </c>
      <c r="L232" s="384">
        <v>40</v>
      </c>
      <c r="M232" s="384">
        <v>40</v>
      </c>
      <c r="N232" s="384">
        <v>40</v>
      </c>
      <c r="O232" s="384">
        <v>40</v>
      </c>
      <c r="P232" s="384">
        <v>44</v>
      </c>
      <c r="Q232" s="384">
        <v>44</v>
      </c>
      <c r="R232" s="384">
        <v>48</v>
      </c>
      <c r="S232" s="384">
        <v>52</v>
      </c>
      <c r="T232" s="384">
        <v>56</v>
      </c>
      <c r="U232" s="384">
        <v>75</v>
      </c>
      <c r="V232" s="384">
        <v>75</v>
      </c>
      <c r="AC232" s="380">
        <v>9</v>
      </c>
      <c r="AD232" s="384">
        <v>44</v>
      </c>
      <c r="AE232" s="384">
        <v>44</v>
      </c>
      <c r="AF232" s="384">
        <v>44</v>
      </c>
      <c r="AG232" s="384">
        <v>44</v>
      </c>
      <c r="AH232" s="384">
        <v>44</v>
      </c>
      <c r="AI232" s="384">
        <v>44</v>
      </c>
      <c r="AJ232" s="384">
        <v>44</v>
      </c>
      <c r="AK232" s="384">
        <v>44</v>
      </c>
      <c r="AL232" s="384">
        <v>44</v>
      </c>
      <c r="AM232" s="384">
        <v>44</v>
      </c>
      <c r="AN232" s="384">
        <v>44</v>
      </c>
      <c r="AO232" s="384">
        <v>44</v>
      </c>
      <c r="AP232" s="384">
        <v>44</v>
      </c>
      <c r="AQ232" s="384">
        <v>48</v>
      </c>
      <c r="AR232" s="384">
        <v>48</v>
      </c>
      <c r="AS232" s="384">
        <v>52</v>
      </c>
      <c r="AT232" s="384">
        <v>52</v>
      </c>
      <c r="AU232" s="384">
        <v>56</v>
      </c>
      <c r="AV232" s="384">
        <v>64</v>
      </c>
      <c r="AW232" s="384">
        <v>80</v>
      </c>
      <c r="AX232" s="384">
        <v>80</v>
      </c>
      <c r="BE232" s="380">
        <v>9</v>
      </c>
      <c r="BF232" s="384">
        <v>44</v>
      </c>
      <c r="BG232" s="384">
        <v>44</v>
      </c>
      <c r="BH232" s="384">
        <v>44</v>
      </c>
      <c r="BI232" s="384">
        <v>44</v>
      </c>
      <c r="BJ232" s="384">
        <v>44</v>
      </c>
      <c r="BK232" s="384">
        <v>44</v>
      </c>
      <c r="BL232" s="384">
        <v>44</v>
      </c>
      <c r="BM232" s="384">
        <v>44</v>
      </c>
      <c r="BN232" s="384">
        <v>44</v>
      </c>
      <c r="BO232" s="384">
        <v>44</v>
      </c>
      <c r="BP232" s="384">
        <v>44</v>
      </c>
      <c r="BQ232" s="384">
        <v>44</v>
      </c>
      <c r="BR232" s="384">
        <v>44</v>
      </c>
      <c r="BS232" s="384">
        <v>48</v>
      </c>
      <c r="BT232" s="384">
        <v>52</v>
      </c>
      <c r="BU232" s="384">
        <v>52</v>
      </c>
      <c r="BV232" s="384">
        <v>52</v>
      </c>
      <c r="BW232" s="384">
        <v>60</v>
      </c>
      <c r="BX232" s="384">
        <v>64</v>
      </c>
      <c r="BY232" s="384">
        <v>81</v>
      </c>
      <c r="BZ232" s="384">
        <v>81</v>
      </c>
      <c r="CG232" s="380">
        <v>9</v>
      </c>
      <c r="CH232" s="384">
        <v>48</v>
      </c>
      <c r="CI232" s="384">
        <v>48</v>
      </c>
      <c r="CJ232" s="384">
        <v>48</v>
      </c>
      <c r="CK232" s="384">
        <v>48</v>
      </c>
      <c r="CL232" s="384">
        <v>48</v>
      </c>
      <c r="CM232" s="384">
        <v>48</v>
      </c>
      <c r="CN232" s="384">
        <v>48</v>
      </c>
      <c r="CO232" s="384">
        <v>48</v>
      </c>
      <c r="CP232" s="384">
        <v>48</v>
      </c>
      <c r="CQ232" s="384">
        <v>48</v>
      </c>
      <c r="CR232" s="384">
        <v>48</v>
      </c>
      <c r="CS232" s="384">
        <v>48</v>
      </c>
      <c r="CT232" s="384">
        <v>48</v>
      </c>
      <c r="CU232" s="384">
        <v>52</v>
      </c>
      <c r="CV232" s="384">
        <v>56</v>
      </c>
      <c r="CW232" s="384">
        <v>56</v>
      </c>
      <c r="CX232" s="384">
        <v>60</v>
      </c>
      <c r="CY232" s="384">
        <v>64</v>
      </c>
      <c r="CZ232" s="384">
        <v>68</v>
      </c>
      <c r="DA232" s="384">
        <v>85</v>
      </c>
      <c r="DB232" s="384">
        <v>85</v>
      </c>
      <c r="DI232" s="380">
        <v>9</v>
      </c>
      <c r="DJ232" s="384">
        <v>52</v>
      </c>
      <c r="DK232" s="384">
        <v>52</v>
      </c>
      <c r="DL232" s="384">
        <v>52</v>
      </c>
      <c r="DM232" s="384">
        <v>52</v>
      </c>
      <c r="DN232" s="384">
        <v>52</v>
      </c>
      <c r="DO232" s="384">
        <v>52</v>
      </c>
      <c r="DP232" s="384">
        <v>52</v>
      </c>
      <c r="DQ232" s="384">
        <v>52</v>
      </c>
      <c r="DR232" s="384">
        <v>52</v>
      </c>
      <c r="DS232" s="384">
        <v>52</v>
      </c>
      <c r="DT232" s="384">
        <v>52</v>
      </c>
      <c r="DU232" s="384">
        <v>52</v>
      </c>
      <c r="DV232" s="384">
        <v>52</v>
      </c>
      <c r="DW232" s="384">
        <v>56</v>
      </c>
      <c r="DX232" s="384">
        <v>60</v>
      </c>
      <c r="DY232" s="384">
        <v>64</v>
      </c>
      <c r="DZ232" s="384">
        <v>64</v>
      </c>
      <c r="EA232" s="384">
        <v>68</v>
      </c>
      <c r="EB232" s="384">
        <v>75</v>
      </c>
      <c r="EC232" s="384">
        <v>88</v>
      </c>
      <c r="ED232" s="384">
        <v>88</v>
      </c>
    </row>
    <row r="233" spans="1:134" x14ac:dyDescent="0.15">
      <c r="A233" s="380">
        <v>10</v>
      </c>
      <c r="B233" s="384">
        <v>44</v>
      </c>
      <c r="C233" s="384">
        <v>44</v>
      </c>
      <c r="D233" s="384">
        <v>44</v>
      </c>
      <c r="E233" s="384">
        <v>44</v>
      </c>
      <c r="F233" s="384">
        <v>44</v>
      </c>
      <c r="G233" s="384">
        <v>44</v>
      </c>
      <c r="H233" s="384">
        <v>44</v>
      </c>
      <c r="I233" s="384">
        <v>44</v>
      </c>
      <c r="J233" s="384">
        <v>44</v>
      </c>
      <c r="K233" s="384">
        <v>44</v>
      </c>
      <c r="L233" s="384">
        <v>44</v>
      </c>
      <c r="M233" s="384">
        <v>44</v>
      </c>
      <c r="N233" s="384">
        <v>44</v>
      </c>
      <c r="O233" s="384">
        <v>44</v>
      </c>
      <c r="P233" s="384">
        <v>48</v>
      </c>
      <c r="Q233" s="384">
        <v>48</v>
      </c>
      <c r="R233" s="384">
        <v>52</v>
      </c>
      <c r="S233" s="384">
        <v>56</v>
      </c>
      <c r="T233" s="384">
        <v>60</v>
      </c>
      <c r="U233" s="384">
        <v>78</v>
      </c>
      <c r="V233" s="384">
        <v>78</v>
      </c>
      <c r="AC233" s="380">
        <v>10</v>
      </c>
      <c r="AD233" s="384">
        <v>48</v>
      </c>
      <c r="AE233" s="384">
        <v>48</v>
      </c>
      <c r="AF233" s="384">
        <v>48</v>
      </c>
      <c r="AG233" s="384">
        <v>48</v>
      </c>
      <c r="AH233" s="384">
        <v>48</v>
      </c>
      <c r="AI233" s="384">
        <v>48</v>
      </c>
      <c r="AJ233" s="384">
        <v>48</v>
      </c>
      <c r="AK233" s="384">
        <v>48</v>
      </c>
      <c r="AL233" s="384">
        <v>48</v>
      </c>
      <c r="AM233" s="384">
        <v>48</v>
      </c>
      <c r="AN233" s="384">
        <v>48</v>
      </c>
      <c r="AO233" s="384">
        <v>48</v>
      </c>
      <c r="AP233" s="384">
        <v>48</v>
      </c>
      <c r="AQ233" s="384">
        <v>52</v>
      </c>
      <c r="AR233" s="384">
        <v>52</v>
      </c>
      <c r="AS233" s="384">
        <v>56</v>
      </c>
      <c r="AT233" s="384">
        <v>56</v>
      </c>
      <c r="AU233" s="384">
        <v>60</v>
      </c>
      <c r="AV233" s="384">
        <v>68</v>
      </c>
      <c r="AW233" s="384">
        <v>82</v>
      </c>
      <c r="AX233" s="384">
        <v>82</v>
      </c>
      <c r="BE233" s="380">
        <v>10</v>
      </c>
      <c r="BF233" s="384">
        <v>48</v>
      </c>
      <c r="BG233" s="384">
        <v>48</v>
      </c>
      <c r="BH233" s="384">
        <v>48</v>
      </c>
      <c r="BI233" s="384">
        <v>48</v>
      </c>
      <c r="BJ233" s="384">
        <v>48</v>
      </c>
      <c r="BK233" s="384">
        <v>48</v>
      </c>
      <c r="BL233" s="384">
        <v>48</v>
      </c>
      <c r="BM233" s="384">
        <v>48</v>
      </c>
      <c r="BN233" s="384">
        <v>48</v>
      </c>
      <c r="BO233" s="384">
        <v>48</v>
      </c>
      <c r="BP233" s="384">
        <v>48</v>
      </c>
      <c r="BQ233" s="384">
        <v>48</v>
      </c>
      <c r="BR233" s="384">
        <v>48</v>
      </c>
      <c r="BS233" s="384">
        <v>52</v>
      </c>
      <c r="BT233" s="384">
        <v>56</v>
      </c>
      <c r="BU233" s="384">
        <v>56</v>
      </c>
      <c r="BV233" s="384">
        <v>56</v>
      </c>
      <c r="BW233" s="384">
        <v>64</v>
      </c>
      <c r="BX233" s="384">
        <v>68</v>
      </c>
      <c r="BY233" s="384">
        <v>84</v>
      </c>
      <c r="BZ233" s="384">
        <v>84</v>
      </c>
      <c r="CG233" s="380">
        <v>10</v>
      </c>
      <c r="CH233" s="384">
        <v>48</v>
      </c>
      <c r="CI233" s="384">
        <v>48</v>
      </c>
      <c r="CJ233" s="384">
        <v>48</v>
      </c>
      <c r="CK233" s="384">
        <v>48</v>
      </c>
      <c r="CL233" s="384">
        <v>48</v>
      </c>
      <c r="CM233" s="384">
        <v>48</v>
      </c>
      <c r="CN233" s="384">
        <v>48</v>
      </c>
      <c r="CO233" s="384">
        <v>48</v>
      </c>
      <c r="CP233" s="384">
        <v>48</v>
      </c>
      <c r="CQ233" s="384">
        <v>48</v>
      </c>
      <c r="CR233" s="384">
        <v>48</v>
      </c>
      <c r="CS233" s="384">
        <v>48</v>
      </c>
      <c r="CT233" s="384">
        <v>48</v>
      </c>
      <c r="CU233" s="384">
        <v>52</v>
      </c>
      <c r="CV233" s="384">
        <v>56</v>
      </c>
      <c r="CW233" s="384">
        <v>56</v>
      </c>
      <c r="CX233" s="384">
        <v>60</v>
      </c>
      <c r="CY233" s="384">
        <v>64</v>
      </c>
      <c r="CZ233" s="384">
        <v>68</v>
      </c>
      <c r="DA233" s="384">
        <v>85</v>
      </c>
      <c r="DB233" s="384">
        <v>85</v>
      </c>
      <c r="DI233" s="380">
        <v>10</v>
      </c>
      <c r="DJ233" s="384">
        <v>56</v>
      </c>
      <c r="DK233" s="384">
        <v>56</v>
      </c>
      <c r="DL233" s="384">
        <v>56</v>
      </c>
      <c r="DM233" s="384">
        <v>56</v>
      </c>
      <c r="DN233" s="384">
        <v>56</v>
      </c>
      <c r="DO233" s="384">
        <v>56</v>
      </c>
      <c r="DP233" s="384">
        <v>56</v>
      </c>
      <c r="DQ233" s="384">
        <v>56</v>
      </c>
      <c r="DR233" s="384">
        <v>56</v>
      </c>
      <c r="DS233" s="384">
        <v>56</v>
      </c>
      <c r="DT233" s="384">
        <v>56</v>
      </c>
      <c r="DU233" s="384">
        <v>56</v>
      </c>
      <c r="DV233" s="384">
        <v>56</v>
      </c>
      <c r="DW233" s="384">
        <v>60</v>
      </c>
      <c r="DX233" s="384">
        <v>64</v>
      </c>
      <c r="DY233" s="384">
        <v>68</v>
      </c>
      <c r="DZ233" s="384">
        <v>68</v>
      </c>
      <c r="EA233" s="384">
        <v>71</v>
      </c>
      <c r="EB233" s="384">
        <v>78</v>
      </c>
      <c r="EC233" s="384">
        <v>90</v>
      </c>
      <c r="ED233" s="384">
        <v>90</v>
      </c>
    </row>
    <row r="234" spans="1:134" x14ac:dyDescent="0.15">
      <c r="A234" s="380">
        <v>11</v>
      </c>
      <c r="B234" s="384">
        <v>44</v>
      </c>
      <c r="C234" s="384">
        <v>44</v>
      </c>
      <c r="D234" s="384">
        <v>44</v>
      </c>
      <c r="E234" s="384">
        <v>44</v>
      </c>
      <c r="F234" s="384">
        <v>44</v>
      </c>
      <c r="G234" s="384">
        <v>44</v>
      </c>
      <c r="H234" s="384">
        <v>44</v>
      </c>
      <c r="I234" s="384">
        <v>44</v>
      </c>
      <c r="J234" s="384">
        <v>44</v>
      </c>
      <c r="K234" s="384">
        <v>44</v>
      </c>
      <c r="L234" s="384">
        <v>44</v>
      </c>
      <c r="M234" s="384">
        <v>44</v>
      </c>
      <c r="N234" s="384">
        <v>44</v>
      </c>
      <c r="O234" s="384">
        <v>44</v>
      </c>
      <c r="P234" s="384">
        <v>48</v>
      </c>
      <c r="Q234" s="384">
        <v>48</v>
      </c>
      <c r="R234" s="384">
        <v>52</v>
      </c>
      <c r="S234" s="384">
        <v>56</v>
      </c>
      <c r="T234" s="384">
        <v>60</v>
      </c>
      <c r="U234" s="384">
        <v>78</v>
      </c>
      <c r="V234" s="384">
        <v>78</v>
      </c>
      <c r="AC234" s="380">
        <v>11</v>
      </c>
      <c r="AD234" s="384">
        <v>48</v>
      </c>
      <c r="AE234" s="384">
        <v>48</v>
      </c>
      <c r="AF234" s="384">
        <v>48</v>
      </c>
      <c r="AG234" s="384">
        <v>48</v>
      </c>
      <c r="AH234" s="384">
        <v>48</v>
      </c>
      <c r="AI234" s="384">
        <v>48</v>
      </c>
      <c r="AJ234" s="384">
        <v>48</v>
      </c>
      <c r="AK234" s="384">
        <v>48</v>
      </c>
      <c r="AL234" s="384">
        <v>48</v>
      </c>
      <c r="AM234" s="384">
        <v>48</v>
      </c>
      <c r="AN234" s="384">
        <v>48</v>
      </c>
      <c r="AO234" s="384">
        <v>48</v>
      </c>
      <c r="AP234" s="384">
        <v>48</v>
      </c>
      <c r="AQ234" s="384">
        <v>52</v>
      </c>
      <c r="AR234" s="384">
        <v>52</v>
      </c>
      <c r="AS234" s="384">
        <v>56</v>
      </c>
      <c r="AT234" s="384">
        <v>56</v>
      </c>
      <c r="AU234" s="384">
        <v>60</v>
      </c>
      <c r="AV234" s="384">
        <v>68</v>
      </c>
      <c r="AW234" s="384">
        <v>82</v>
      </c>
      <c r="AX234" s="384">
        <v>82</v>
      </c>
      <c r="BE234" s="380">
        <v>11</v>
      </c>
      <c r="BF234" s="384">
        <v>48</v>
      </c>
      <c r="BG234" s="384">
        <v>48</v>
      </c>
      <c r="BH234" s="384">
        <v>48</v>
      </c>
      <c r="BI234" s="384">
        <v>48</v>
      </c>
      <c r="BJ234" s="384">
        <v>48</v>
      </c>
      <c r="BK234" s="384">
        <v>48</v>
      </c>
      <c r="BL234" s="384">
        <v>48</v>
      </c>
      <c r="BM234" s="384">
        <v>48</v>
      </c>
      <c r="BN234" s="384">
        <v>48</v>
      </c>
      <c r="BO234" s="384">
        <v>48</v>
      </c>
      <c r="BP234" s="384">
        <v>48</v>
      </c>
      <c r="BQ234" s="384">
        <v>48</v>
      </c>
      <c r="BR234" s="384">
        <v>48</v>
      </c>
      <c r="BS234" s="384">
        <v>52</v>
      </c>
      <c r="BT234" s="384">
        <v>56</v>
      </c>
      <c r="BU234" s="384">
        <v>56</v>
      </c>
      <c r="BV234" s="384">
        <v>56</v>
      </c>
      <c r="BW234" s="384">
        <v>64</v>
      </c>
      <c r="BX234" s="384">
        <v>68</v>
      </c>
      <c r="BY234" s="384">
        <v>84</v>
      </c>
      <c r="BZ234" s="384">
        <v>84</v>
      </c>
      <c r="CG234" s="380">
        <v>11</v>
      </c>
      <c r="CH234" s="384">
        <v>48</v>
      </c>
      <c r="CI234" s="384">
        <v>48</v>
      </c>
      <c r="CJ234" s="384">
        <v>48</v>
      </c>
      <c r="CK234" s="384">
        <v>48</v>
      </c>
      <c r="CL234" s="384">
        <v>48</v>
      </c>
      <c r="CM234" s="384">
        <v>48</v>
      </c>
      <c r="CN234" s="384">
        <v>48</v>
      </c>
      <c r="CO234" s="384">
        <v>48</v>
      </c>
      <c r="CP234" s="384">
        <v>48</v>
      </c>
      <c r="CQ234" s="384">
        <v>48</v>
      </c>
      <c r="CR234" s="384">
        <v>48</v>
      </c>
      <c r="CS234" s="384">
        <v>48</v>
      </c>
      <c r="CT234" s="384">
        <v>48</v>
      </c>
      <c r="CU234" s="384">
        <v>52</v>
      </c>
      <c r="CV234" s="384">
        <v>56</v>
      </c>
      <c r="CW234" s="384">
        <v>56</v>
      </c>
      <c r="CX234" s="384">
        <v>60</v>
      </c>
      <c r="CY234" s="384">
        <v>64</v>
      </c>
      <c r="CZ234" s="384">
        <v>68</v>
      </c>
      <c r="DA234" s="384">
        <v>85</v>
      </c>
      <c r="DB234" s="384">
        <v>85</v>
      </c>
      <c r="DI234" s="380">
        <v>11</v>
      </c>
      <c r="DJ234" s="384">
        <v>56</v>
      </c>
      <c r="DK234" s="384">
        <v>56</v>
      </c>
      <c r="DL234" s="384">
        <v>56</v>
      </c>
      <c r="DM234" s="384">
        <v>56</v>
      </c>
      <c r="DN234" s="384">
        <v>56</v>
      </c>
      <c r="DO234" s="384">
        <v>56</v>
      </c>
      <c r="DP234" s="384">
        <v>56</v>
      </c>
      <c r="DQ234" s="384">
        <v>56</v>
      </c>
      <c r="DR234" s="384">
        <v>56</v>
      </c>
      <c r="DS234" s="384">
        <v>56</v>
      </c>
      <c r="DT234" s="384">
        <v>56</v>
      </c>
      <c r="DU234" s="384">
        <v>56</v>
      </c>
      <c r="DV234" s="384">
        <v>56</v>
      </c>
      <c r="DW234" s="384">
        <v>60</v>
      </c>
      <c r="DX234" s="384">
        <v>64</v>
      </c>
      <c r="DY234" s="384">
        <v>68</v>
      </c>
      <c r="DZ234" s="384">
        <v>68</v>
      </c>
      <c r="EA234" s="384">
        <v>71</v>
      </c>
      <c r="EB234" s="384">
        <v>78</v>
      </c>
      <c r="EC234" s="384">
        <v>90</v>
      </c>
      <c r="ED234" s="384">
        <v>90</v>
      </c>
    </row>
    <row r="235" spans="1:134" x14ac:dyDescent="0.15">
      <c r="A235" s="380">
        <v>12</v>
      </c>
      <c r="B235" s="384">
        <v>44</v>
      </c>
      <c r="C235" s="384">
        <v>44</v>
      </c>
      <c r="D235" s="384">
        <v>44</v>
      </c>
      <c r="E235" s="384">
        <v>44</v>
      </c>
      <c r="F235" s="384">
        <v>44</v>
      </c>
      <c r="G235" s="384">
        <v>44</v>
      </c>
      <c r="H235" s="384">
        <v>44</v>
      </c>
      <c r="I235" s="384">
        <v>44</v>
      </c>
      <c r="J235" s="384">
        <v>44</v>
      </c>
      <c r="K235" s="384">
        <v>44</v>
      </c>
      <c r="L235" s="384">
        <v>44</v>
      </c>
      <c r="M235" s="384">
        <v>44</v>
      </c>
      <c r="N235" s="384">
        <v>44</v>
      </c>
      <c r="O235" s="384">
        <v>44</v>
      </c>
      <c r="P235" s="384">
        <v>48</v>
      </c>
      <c r="Q235" s="384">
        <v>48</v>
      </c>
      <c r="R235" s="384">
        <v>52</v>
      </c>
      <c r="S235" s="384">
        <v>56</v>
      </c>
      <c r="T235" s="384">
        <v>60</v>
      </c>
      <c r="U235" s="384">
        <v>78</v>
      </c>
      <c r="V235" s="384">
        <v>78</v>
      </c>
      <c r="AC235" s="380">
        <v>12</v>
      </c>
      <c r="AD235" s="384">
        <v>48</v>
      </c>
      <c r="AE235" s="384">
        <v>48</v>
      </c>
      <c r="AF235" s="384">
        <v>48</v>
      </c>
      <c r="AG235" s="384">
        <v>48</v>
      </c>
      <c r="AH235" s="384">
        <v>48</v>
      </c>
      <c r="AI235" s="384">
        <v>48</v>
      </c>
      <c r="AJ235" s="384">
        <v>48</v>
      </c>
      <c r="AK235" s="384">
        <v>48</v>
      </c>
      <c r="AL235" s="384">
        <v>48</v>
      </c>
      <c r="AM235" s="384">
        <v>48</v>
      </c>
      <c r="AN235" s="384">
        <v>48</v>
      </c>
      <c r="AO235" s="384">
        <v>48</v>
      </c>
      <c r="AP235" s="384">
        <v>48</v>
      </c>
      <c r="AQ235" s="384">
        <v>52</v>
      </c>
      <c r="AR235" s="384">
        <v>52</v>
      </c>
      <c r="AS235" s="384">
        <v>56</v>
      </c>
      <c r="AT235" s="384">
        <v>56</v>
      </c>
      <c r="AU235" s="384">
        <v>60</v>
      </c>
      <c r="AV235" s="384">
        <v>68</v>
      </c>
      <c r="AW235" s="384">
        <v>82</v>
      </c>
      <c r="AX235" s="384">
        <v>82</v>
      </c>
      <c r="BE235" s="380">
        <v>12</v>
      </c>
      <c r="BF235" s="384">
        <v>48</v>
      </c>
      <c r="BG235" s="384">
        <v>48</v>
      </c>
      <c r="BH235" s="384">
        <v>48</v>
      </c>
      <c r="BI235" s="384">
        <v>48</v>
      </c>
      <c r="BJ235" s="384">
        <v>48</v>
      </c>
      <c r="BK235" s="384">
        <v>48</v>
      </c>
      <c r="BL235" s="384">
        <v>48</v>
      </c>
      <c r="BM235" s="384">
        <v>48</v>
      </c>
      <c r="BN235" s="384">
        <v>48</v>
      </c>
      <c r="BO235" s="384">
        <v>48</v>
      </c>
      <c r="BP235" s="384">
        <v>48</v>
      </c>
      <c r="BQ235" s="384">
        <v>48</v>
      </c>
      <c r="BR235" s="384">
        <v>48</v>
      </c>
      <c r="BS235" s="384">
        <v>52</v>
      </c>
      <c r="BT235" s="384">
        <v>56</v>
      </c>
      <c r="BU235" s="384">
        <v>56</v>
      </c>
      <c r="BV235" s="384">
        <v>56</v>
      </c>
      <c r="BW235" s="384">
        <v>64</v>
      </c>
      <c r="BX235" s="384">
        <v>68</v>
      </c>
      <c r="BY235" s="384">
        <v>84</v>
      </c>
      <c r="BZ235" s="384">
        <v>84</v>
      </c>
      <c r="CG235" s="380">
        <v>12</v>
      </c>
      <c r="CH235" s="384">
        <v>52</v>
      </c>
      <c r="CI235" s="384">
        <v>52</v>
      </c>
      <c r="CJ235" s="384">
        <v>52</v>
      </c>
      <c r="CK235" s="384">
        <v>52</v>
      </c>
      <c r="CL235" s="384">
        <v>52</v>
      </c>
      <c r="CM235" s="384">
        <v>52</v>
      </c>
      <c r="CN235" s="384">
        <v>52</v>
      </c>
      <c r="CO235" s="384">
        <v>52</v>
      </c>
      <c r="CP235" s="384">
        <v>52</v>
      </c>
      <c r="CQ235" s="384">
        <v>52</v>
      </c>
      <c r="CR235" s="384">
        <v>52</v>
      </c>
      <c r="CS235" s="384">
        <v>52</v>
      </c>
      <c r="CT235" s="384">
        <v>52</v>
      </c>
      <c r="CU235" s="384">
        <v>56</v>
      </c>
      <c r="CV235" s="384">
        <v>60</v>
      </c>
      <c r="CW235" s="384">
        <v>60</v>
      </c>
      <c r="CX235" s="384">
        <v>64</v>
      </c>
      <c r="CY235" s="384">
        <v>68</v>
      </c>
      <c r="CZ235" s="384">
        <v>71</v>
      </c>
      <c r="DA235" s="384">
        <v>87</v>
      </c>
      <c r="DB235" s="384">
        <v>87</v>
      </c>
      <c r="DI235" s="380">
        <v>12</v>
      </c>
      <c r="DJ235" s="384">
        <v>56</v>
      </c>
      <c r="DK235" s="384">
        <v>56</v>
      </c>
      <c r="DL235" s="384">
        <v>56</v>
      </c>
      <c r="DM235" s="384">
        <v>56</v>
      </c>
      <c r="DN235" s="384">
        <v>56</v>
      </c>
      <c r="DO235" s="384">
        <v>56</v>
      </c>
      <c r="DP235" s="384">
        <v>56</v>
      </c>
      <c r="DQ235" s="384">
        <v>56</v>
      </c>
      <c r="DR235" s="384">
        <v>56</v>
      </c>
      <c r="DS235" s="384">
        <v>56</v>
      </c>
      <c r="DT235" s="384">
        <v>56</v>
      </c>
      <c r="DU235" s="384">
        <v>56</v>
      </c>
      <c r="DV235" s="384">
        <v>56</v>
      </c>
      <c r="DW235" s="384">
        <v>60</v>
      </c>
      <c r="DX235" s="384">
        <v>64</v>
      </c>
      <c r="DY235" s="384">
        <v>68</v>
      </c>
      <c r="DZ235" s="384">
        <v>68</v>
      </c>
      <c r="EA235" s="384">
        <v>71</v>
      </c>
      <c r="EB235" s="384">
        <v>78</v>
      </c>
      <c r="EC235" s="384">
        <v>90</v>
      </c>
      <c r="ED235" s="384">
        <v>90</v>
      </c>
    </row>
    <row r="236" spans="1:134" x14ac:dyDescent="0.15">
      <c r="A236" s="380">
        <v>13</v>
      </c>
      <c r="B236" s="384">
        <v>48</v>
      </c>
      <c r="C236" s="384">
        <v>48</v>
      </c>
      <c r="D236" s="384">
        <v>48</v>
      </c>
      <c r="E236" s="384">
        <v>48</v>
      </c>
      <c r="F236" s="384">
        <v>48</v>
      </c>
      <c r="G236" s="384">
        <v>48</v>
      </c>
      <c r="H236" s="384">
        <v>48</v>
      </c>
      <c r="I236" s="384">
        <v>48</v>
      </c>
      <c r="J236" s="384">
        <v>48</v>
      </c>
      <c r="K236" s="384">
        <v>48</v>
      </c>
      <c r="L236" s="384">
        <v>48</v>
      </c>
      <c r="M236" s="384">
        <v>48</v>
      </c>
      <c r="N236" s="384">
        <v>48</v>
      </c>
      <c r="O236" s="384">
        <v>48</v>
      </c>
      <c r="P236" s="384">
        <v>52</v>
      </c>
      <c r="Q236" s="384">
        <v>52</v>
      </c>
      <c r="R236" s="384">
        <v>56</v>
      </c>
      <c r="S236" s="384">
        <v>60</v>
      </c>
      <c r="T236" s="384">
        <v>64</v>
      </c>
      <c r="U236" s="384">
        <v>81</v>
      </c>
      <c r="V236" s="384">
        <v>81</v>
      </c>
      <c r="AC236" s="380">
        <v>13</v>
      </c>
      <c r="AD236" s="384">
        <v>52</v>
      </c>
      <c r="AE236" s="384">
        <v>52</v>
      </c>
      <c r="AF236" s="384">
        <v>52</v>
      </c>
      <c r="AG236" s="384">
        <v>52</v>
      </c>
      <c r="AH236" s="384">
        <v>52</v>
      </c>
      <c r="AI236" s="384">
        <v>52</v>
      </c>
      <c r="AJ236" s="384">
        <v>52</v>
      </c>
      <c r="AK236" s="384">
        <v>52</v>
      </c>
      <c r="AL236" s="384">
        <v>52</v>
      </c>
      <c r="AM236" s="384">
        <v>52</v>
      </c>
      <c r="AN236" s="384">
        <v>52</v>
      </c>
      <c r="AO236" s="384">
        <v>52</v>
      </c>
      <c r="AP236" s="384">
        <v>52</v>
      </c>
      <c r="AQ236" s="384">
        <v>56</v>
      </c>
      <c r="AR236" s="384">
        <v>56</v>
      </c>
      <c r="AS236" s="384">
        <v>60</v>
      </c>
      <c r="AT236" s="384">
        <v>60</v>
      </c>
      <c r="AU236" s="384">
        <v>64</v>
      </c>
      <c r="AV236" s="384">
        <v>71</v>
      </c>
      <c r="AW236" s="384">
        <v>85</v>
      </c>
      <c r="AX236" s="384">
        <v>85</v>
      </c>
      <c r="BE236" s="380">
        <v>13</v>
      </c>
      <c r="BF236" s="384">
        <v>52</v>
      </c>
      <c r="BG236" s="384">
        <v>52</v>
      </c>
      <c r="BH236" s="384">
        <v>52</v>
      </c>
      <c r="BI236" s="384">
        <v>52</v>
      </c>
      <c r="BJ236" s="384">
        <v>52</v>
      </c>
      <c r="BK236" s="384">
        <v>52</v>
      </c>
      <c r="BL236" s="384">
        <v>52</v>
      </c>
      <c r="BM236" s="384">
        <v>52</v>
      </c>
      <c r="BN236" s="384">
        <v>52</v>
      </c>
      <c r="BO236" s="384">
        <v>52</v>
      </c>
      <c r="BP236" s="384">
        <v>52</v>
      </c>
      <c r="BQ236" s="384">
        <v>52</v>
      </c>
      <c r="BR236" s="384">
        <v>52</v>
      </c>
      <c r="BS236" s="384">
        <v>56</v>
      </c>
      <c r="BT236" s="384">
        <v>60</v>
      </c>
      <c r="BU236" s="384">
        <v>60</v>
      </c>
      <c r="BV236" s="384">
        <v>60</v>
      </c>
      <c r="BW236" s="384">
        <v>68</v>
      </c>
      <c r="BX236" s="384">
        <v>71</v>
      </c>
      <c r="BY236" s="384">
        <v>86</v>
      </c>
      <c r="BZ236" s="384">
        <v>86</v>
      </c>
      <c r="CG236" s="380">
        <v>13</v>
      </c>
      <c r="CH236" s="384">
        <v>52</v>
      </c>
      <c r="CI236" s="384">
        <v>52</v>
      </c>
      <c r="CJ236" s="384">
        <v>52</v>
      </c>
      <c r="CK236" s="384">
        <v>52</v>
      </c>
      <c r="CL236" s="384">
        <v>52</v>
      </c>
      <c r="CM236" s="384">
        <v>52</v>
      </c>
      <c r="CN236" s="384">
        <v>52</v>
      </c>
      <c r="CO236" s="384">
        <v>52</v>
      </c>
      <c r="CP236" s="384">
        <v>52</v>
      </c>
      <c r="CQ236" s="384">
        <v>52</v>
      </c>
      <c r="CR236" s="384">
        <v>52</v>
      </c>
      <c r="CS236" s="384">
        <v>52</v>
      </c>
      <c r="CT236" s="384">
        <v>52</v>
      </c>
      <c r="CU236" s="384">
        <v>56</v>
      </c>
      <c r="CV236" s="384">
        <v>60</v>
      </c>
      <c r="CW236" s="384">
        <v>60</v>
      </c>
      <c r="CX236" s="384">
        <v>64</v>
      </c>
      <c r="CY236" s="384">
        <v>68</v>
      </c>
      <c r="CZ236" s="384">
        <v>71</v>
      </c>
      <c r="DA236" s="384">
        <v>87</v>
      </c>
      <c r="DB236" s="384">
        <v>87</v>
      </c>
      <c r="DI236" s="380">
        <v>13</v>
      </c>
      <c r="DJ236" s="384">
        <v>60</v>
      </c>
      <c r="DK236" s="384">
        <v>60</v>
      </c>
      <c r="DL236" s="384">
        <v>60</v>
      </c>
      <c r="DM236" s="384">
        <v>60</v>
      </c>
      <c r="DN236" s="384">
        <v>60</v>
      </c>
      <c r="DO236" s="384">
        <v>60</v>
      </c>
      <c r="DP236" s="384">
        <v>60</v>
      </c>
      <c r="DQ236" s="384">
        <v>60</v>
      </c>
      <c r="DR236" s="384">
        <v>60</v>
      </c>
      <c r="DS236" s="384">
        <v>60</v>
      </c>
      <c r="DT236" s="384">
        <v>60</v>
      </c>
      <c r="DU236" s="384">
        <v>60</v>
      </c>
      <c r="DV236" s="384">
        <v>60</v>
      </c>
      <c r="DW236" s="384">
        <v>64</v>
      </c>
      <c r="DX236" s="384">
        <v>68</v>
      </c>
      <c r="DY236" s="384">
        <v>71</v>
      </c>
      <c r="DZ236" s="384">
        <v>71</v>
      </c>
      <c r="EA236" s="384">
        <v>75</v>
      </c>
      <c r="EB236" s="384">
        <v>81</v>
      </c>
      <c r="EC236" s="384">
        <v>93</v>
      </c>
      <c r="ED236" s="384">
        <v>93</v>
      </c>
    </row>
    <row r="237" spans="1:134" x14ac:dyDescent="0.15">
      <c r="A237" s="380">
        <v>14</v>
      </c>
      <c r="B237" s="384">
        <v>48</v>
      </c>
      <c r="C237" s="384">
        <v>48</v>
      </c>
      <c r="D237" s="384">
        <v>48</v>
      </c>
      <c r="E237" s="384">
        <v>48</v>
      </c>
      <c r="F237" s="384">
        <v>48</v>
      </c>
      <c r="G237" s="384">
        <v>48</v>
      </c>
      <c r="H237" s="384">
        <v>48</v>
      </c>
      <c r="I237" s="384">
        <v>48</v>
      </c>
      <c r="J237" s="384">
        <v>48</v>
      </c>
      <c r="K237" s="384">
        <v>48</v>
      </c>
      <c r="L237" s="384">
        <v>48</v>
      </c>
      <c r="M237" s="384">
        <v>48</v>
      </c>
      <c r="N237" s="384">
        <v>48</v>
      </c>
      <c r="O237" s="384">
        <v>48</v>
      </c>
      <c r="P237" s="384">
        <v>52</v>
      </c>
      <c r="Q237" s="384">
        <v>52</v>
      </c>
      <c r="R237" s="384">
        <v>56</v>
      </c>
      <c r="S237" s="384">
        <v>60</v>
      </c>
      <c r="T237" s="384">
        <v>64</v>
      </c>
      <c r="U237" s="384">
        <v>81</v>
      </c>
      <c r="V237" s="384">
        <v>81</v>
      </c>
      <c r="AC237" s="380">
        <v>14</v>
      </c>
      <c r="AD237" s="384">
        <v>52</v>
      </c>
      <c r="AE237" s="384">
        <v>52</v>
      </c>
      <c r="AF237" s="384">
        <v>52</v>
      </c>
      <c r="AG237" s="384">
        <v>52</v>
      </c>
      <c r="AH237" s="384">
        <v>52</v>
      </c>
      <c r="AI237" s="384">
        <v>52</v>
      </c>
      <c r="AJ237" s="384">
        <v>52</v>
      </c>
      <c r="AK237" s="384">
        <v>52</v>
      </c>
      <c r="AL237" s="384">
        <v>52</v>
      </c>
      <c r="AM237" s="384">
        <v>52</v>
      </c>
      <c r="AN237" s="384">
        <v>52</v>
      </c>
      <c r="AO237" s="384">
        <v>52</v>
      </c>
      <c r="AP237" s="384">
        <v>52</v>
      </c>
      <c r="AQ237" s="384">
        <v>56</v>
      </c>
      <c r="AR237" s="384">
        <v>56</v>
      </c>
      <c r="AS237" s="384">
        <v>60</v>
      </c>
      <c r="AT237" s="384">
        <v>60</v>
      </c>
      <c r="AU237" s="384">
        <v>64</v>
      </c>
      <c r="AV237" s="384">
        <v>71</v>
      </c>
      <c r="AW237" s="384">
        <v>85</v>
      </c>
      <c r="AX237" s="384">
        <v>85</v>
      </c>
      <c r="BE237" s="380">
        <v>14</v>
      </c>
      <c r="BF237" s="384">
        <v>52</v>
      </c>
      <c r="BG237" s="384">
        <v>52</v>
      </c>
      <c r="BH237" s="384">
        <v>52</v>
      </c>
      <c r="BI237" s="384">
        <v>52</v>
      </c>
      <c r="BJ237" s="384">
        <v>52</v>
      </c>
      <c r="BK237" s="384">
        <v>52</v>
      </c>
      <c r="BL237" s="384">
        <v>52</v>
      </c>
      <c r="BM237" s="384">
        <v>52</v>
      </c>
      <c r="BN237" s="384">
        <v>52</v>
      </c>
      <c r="BO237" s="384">
        <v>52</v>
      </c>
      <c r="BP237" s="384">
        <v>52</v>
      </c>
      <c r="BQ237" s="384">
        <v>52</v>
      </c>
      <c r="BR237" s="384">
        <v>52</v>
      </c>
      <c r="BS237" s="384">
        <v>56</v>
      </c>
      <c r="BT237" s="384">
        <v>60</v>
      </c>
      <c r="BU237" s="384">
        <v>60</v>
      </c>
      <c r="BV237" s="384">
        <v>60</v>
      </c>
      <c r="BW237" s="384">
        <v>68</v>
      </c>
      <c r="BX237" s="384">
        <v>71</v>
      </c>
      <c r="BY237" s="384">
        <v>86</v>
      </c>
      <c r="BZ237" s="384">
        <v>86</v>
      </c>
      <c r="CG237" s="380">
        <v>14</v>
      </c>
      <c r="CH237" s="384">
        <v>56</v>
      </c>
      <c r="CI237" s="384">
        <v>56</v>
      </c>
      <c r="CJ237" s="384">
        <v>56</v>
      </c>
      <c r="CK237" s="384">
        <v>56</v>
      </c>
      <c r="CL237" s="384">
        <v>56</v>
      </c>
      <c r="CM237" s="384">
        <v>56</v>
      </c>
      <c r="CN237" s="384">
        <v>56</v>
      </c>
      <c r="CO237" s="384">
        <v>56</v>
      </c>
      <c r="CP237" s="384">
        <v>56</v>
      </c>
      <c r="CQ237" s="384">
        <v>56</v>
      </c>
      <c r="CR237" s="384">
        <v>56</v>
      </c>
      <c r="CS237" s="384">
        <v>56</v>
      </c>
      <c r="CT237" s="384">
        <v>56</v>
      </c>
      <c r="CU237" s="384">
        <v>60</v>
      </c>
      <c r="CV237" s="384">
        <v>64</v>
      </c>
      <c r="CW237" s="384">
        <v>64</v>
      </c>
      <c r="CX237" s="384">
        <v>68</v>
      </c>
      <c r="CY237" s="384">
        <v>71</v>
      </c>
      <c r="CZ237" s="384">
        <v>75</v>
      </c>
      <c r="DA237" s="384">
        <v>90</v>
      </c>
      <c r="DB237" s="384">
        <v>90</v>
      </c>
      <c r="DI237" s="380">
        <v>14</v>
      </c>
      <c r="DJ237" s="384">
        <v>60</v>
      </c>
      <c r="DK237" s="384">
        <v>60</v>
      </c>
      <c r="DL237" s="384">
        <v>60</v>
      </c>
      <c r="DM237" s="384">
        <v>60</v>
      </c>
      <c r="DN237" s="384">
        <v>60</v>
      </c>
      <c r="DO237" s="384">
        <v>60</v>
      </c>
      <c r="DP237" s="384">
        <v>60</v>
      </c>
      <c r="DQ237" s="384">
        <v>60</v>
      </c>
      <c r="DR237" s="384">
        <v>60</v>
      </c>
      <c r="DS237" s="384">
        <v>60</v>
      </c>
      <c r="DT237" s="384">
        <v>60</v>
      </c>
      <c r="DU237" s="384">
        <v>60</v>
      </c>
      <c r="DV237" s="384">
        <v>60</v>
      </c>
      <c r="DW237" s="384">
        <v>64</v>
      </c>
      <c r="DX237" s="384">
        <v>68</v>
      </c>
      <c r="DY237" s="384">
        <v>71</v>
      </c>
      <c r="DZ237" s="384">
        <v>71</v>
      </c>
      <c r="EA237" s="384">
        <v>75</v>
      </c>
      <c r="EB237" s="384">
        <v>81</v>
      </c>
      <c r="EC237" s="384">
        <v>93</v>
      </c>
      <c r="ED237" s="384">
        <v>93</v>
      </c>
    </row>
    <row r="238" spans="1:134" x14ac:dyDescent="0.15">
      <c r="A238" s="380">
        <v>15</v>
      </c>
      <c r="B238" s="384">
        <v>48</v>
      </c>
      <c r="C238" s="384">
        <v>48</v>
      </c>
      <c r="D238" s="384">
        <v>48</v>
      </c>
      <c r="E238" s="384">
        <v>48</v>
      </c>
      <c r="F238" s="384">
        <v>48</v>
      </c>
      <c r="G238" s="384">
        <v>48</v>
      </c>
      <c r="H238" s="384">
        <v>48</v>
      </c>
      <c r="I238" s="384">
        <v>48</v>
      </c>
      <c r="J238" s="384">
        <v>48</v>
      </c>
      <c r="K238" s="384">
        <v>48</v>
      </c>
      <c r="L238" s="384">
        <v>48</v>
      </c>
      <c r="M238" s="384">
        <v>48</v>
      </c>
      <c r="N238" s="384">
        <v>48</v>
      </c>
      <c r="O238" s="384">
        <v>48</v>
      </c>
      <c r="P238" s="384">
        <v>52</v>
      </c>
      <c r="Q238" s="384">
        <v>52</v>
      </c>
      <c r="R238" s="384">
        <v>56</v>
      </c>
      <c r="S238" s="384">
        <v>60</v>
      </c>
      <c r="T238" s="384">
        <v>64</v>
      </c>
      <c r="U238" s="384">
        <v>81</v>
      </c>
      <c r="V238" s="384">
        <v>81</v>
      </c>
      <c r="AC238" s="380">
        <v>15</v>
      </c>
      <c r="AD238" s="384">
        <v>56</v>
      </c>
      <c r="AE238" s="384">
        <v>56</v>
      </c>
      <c r="AF238" s="384">
        <v>56</v>
      </c>
      <c r="AG238" s="384">
        <v>56</v>
      </c>
      <c r="AH238" s="384">
        <v>56</v>
      </c>
      <c r="AI238" s="384">
        <v>56</v>
      </c>
      <c r="AJ238" s="384">
        <v>56</v>
      </c>
      <c r="AK238" s="384">
        <v>56</v>
      </c>
      <c r="AL238" s="384">
        <v>56</v>
      </c>
      <c r="AM238" s="384">
        <v>56</v>
      </c>
      <c r="AN238" s="384">
        <v>56</v>
      </c>
      <c r="AO238" s="384">
        <v>56</v>
      </c>
      <c r="AP238" s="384">
        <v>56</v>
      </c>
      <c r="AQ238" s="384">
        <v>60</v>
      </c>
      <c r="AR238" s="384">
        <v>60</v>
      </c>
      <c r="AS238" s="384">
        <v>64</v>
      </c>
      <c r="AT238" s="384">
        <v>64</v>
      </c>
      <c r="AU238" s="384">
        <v>68</v>
      </c>
      <c r="AV238" s="384">
        <v>75</v>
      </c>
      <c r="AW238" s="384">
        <v>88</v>
      </c>
      <c r="AX238" s="384">
        <v>88</v>
      </c>
      <c r="BE238" s="380">
        <v>15</v>
      </c>
      <c r="BF238" s="384">
        <v>56</v>
      </c>
      <c r="BG238" s="384">
        <v>56</v>
      </c>
      <c r="BH238" s="384">
        <v>56</v>
      </c>
      <c r="BI238" s="384">
        <v>56</v>
      </c>
      <c r="BJ238" s="384">
        <v>56</v>
      </c>
      <c r="BK238" s="384">
        <v>56</v>
      </c>
      <c r="BL238" s="384">
        <v>56</v>
      </c>
      <c r="BM238" s="384">
        <v>56</v>
      </c>
      <c r="BN238" s="384">
        <v>56</v>
      </c>
      <c r="BO238" s="384">
        <v>56</v>
      </c>
      <c r="BP238" s="384">
        <v>56</v>
      </c>
      <c r="BQ238" s="384">
        <v>56</v>
      </c>
      <c r="BR238" s="384">
        <v>56</v>
      </c>
      <c r="BS238" s="384">
        <v>60</v>
      </c>
      <c r="BT238" s="384">
        <v>64</v>
      </c>
      <c r="BU238" s="384">
        <v>64</v>
      </c>
      <c r="BV238" s="384">
        <v>64</v>
      </c>
      <c r="BW238" s="384">
        <v>71</v>
      </c>
      <c r="BX238" s="384">
        <v>75</v>
      </c>
      <c r="BY238" s="395">
        <v>89</v>
      </c>
      <c r="BZ238" s="395">
        <v>89</v>
      </c>
      <c r="CG238" s="380">
        <v>15</v>
      </c>
      <c r="CH238" s="384">
        <v>60</v>
      </c>
      <c r="CI238" s="384">
        <v>60</v>
      </c>
      <c r="CJ238" s="384">
        <v>60</v>
      </c>
      <c r="CK238" s="384">
        <v>60</v>
      </c>
      <c r="CL238" s="384">
        <v>60</v>
      </c>
      <c r="CM238" s="384">
        <v>60</v>
      </c>
      <c r="CN238" s="384">
        <v>60</v>
      </c>
      <c r="CO238" s="384">
        <v>60</v>
      </c>
      <c r="CP238" s="384">
        <v>60</v>
      </c>
      <c r="CQ238" s="384">
        <v>60</v>
      </c>
      <c r="CR238" s="384">
        <v>60</v>
      </c>
      <c r="CS238" s="384">
        <v>60</v>
      </c>
      <c r="CT238" s="384">
        <v>60</v>
      </c>
      <c r="CU238" s="384">
        <v>64</v>
      </c>
      <c r="CV238" s="384">
        <v>68</v>
      </c>
      <c r="CW238" s="384">
        <v>68</v>
      </c>
      <c r="CX238" s="384">
        <v>71</v>
      </c>
      <c r="CY238" s="384">
        <v>75</v>
      </c>
      <c r="CZ238" s="384">
        <v>78</v>
      </c>
      <c r="DA238" s="384">
        <v>93</v>
      </c>
      <c r="DB238" s="384">
        <v>93</v>
      </c>
      <c r="DI238" s="380">
        <v>15</v>
      </c>
      <c r="DJ238" s="384">
        <v>64</v>
      </c>
      <c r="DK238" s="384">
        <v>64</v>
      </c>
      <c r="DL238" s="384">
        <v>64</v>
      </c>
      <c r="DM238" s="384">
        <v>64</v>
      </c>
      <c r="DN238" s="384">
        <v>64</v>
      </c>
      <c r="DO238" s="384">
        <v>64</v>
      </c>
      <c r="DP238" s="384">
        <v>64</v>
      </c>
      <c r="DQ238" s="384">
        <v>64</v>
      </c>
      <c r="DR238" s="384">
        <v>64</v>
      </c>
      <c r="DS238" s="384">
        <v>64</v>
      </c>
      <c r="DT238" s="384">
        <v>64</v>
      </c>
      <c r="DU238" s="384">
        <v>64</v>
      </c>
      <c r="DV238" s="384">
        <v>64</v>
      </c>
      <c r="DW238" s="384">
        <v>68</v>
      </c>
      <c r="DX238" s="384">
        <v>71</v>
      </c>
      <c r="DY238" s="384">
        <v>75</v>
      </c>
      <c r="DZ238" s="384">
        <v>75</v>
      </c>
      <c r="EA238" s="384">
        <v>78</v>
      </c>
      <c r="EB238" s="384">
        <v>84</v>
      </c>
      <c r="EC238" s="384">
        <v>96</v>
      </c>
      <c r="ED238" s="384">
        <v>96</v>
      </c>
    </row>
    <row r="239" spans="1:134" x14ac:dyDescent="0.15">
      <c r="A239" s="380">
        <v>16</v>
      </c>
      <c r="B239" s="384">
        <v>48</v>
      </c>
      <c r="C239" s="384">
        <v>48</v>
      </c>
      <c r="D239" s="384">
        <v>48</v>
      </c>
      <c r="E239" s="384">
        <v>48</v>
      </c>
      <c r="F239" s="384">
        <v>48</v>
      </c>
      <c r="G239" s="384">
        <v>48</v>
      </c>
      <c r="H239" s="384">
        <v>48</v>
      </c>
      <c r="I239" s="384">
        <v>48</v>
      </c>
      <c r="J239" s="384">
        <v>48</v>
      </c>
      <c r="K239" s="384">
        <v>48</v>
      </c>
      <c r="L239" s="384">
        <v>48</v>
      </c>
      <c r="M239" s="384">
        <v>48</v>
      </c>
      <c r="N239" s="384">
        <v>48</v>
      </c>
      <c r="O239" s="384">
        <v>48</v>
      </c>
      <c r="P239" s="384">
        <v>52</v>
      </c>
      <c r="Q239" s="384">
        <v>52</v>
      </c>
      <c r="R239" s="384">
        <v>56</v>
      </c>
      <c r="S239" s="384">
        <v>60</v>
      </c>
      <c r="T239" s="384">
        <v>64</v>
      </c>
      <c r="U239" s="384">
        <v>81</v>
      </c>
      <c r="V239" s="384">
        <v>81</v>
      </c>
      <c r="AC239" s="380">
        <v>16</v>
      </c>
      <c r="AD239" s="384">
        <v>60</v>
      </c>
      <c r="AE239" s="384">
        <v>60</v>
      </c>
      <c r="AF239" s="384">
        <v>60</v>
      </c>
      <c r="AG239" s="384">
        <v>60</v>
      </c>
      <c r="AH239" s="384">
        <v>60</v>
      </c>
      <c r="AI239" s="384">
        <v>60</v>
      </c>
      <c r="AJ239" s="384">
        <v>60</v>
      </c>
      <c r="AK239" s="384">
        <v>60</v>
      </c>
      <c r="AL239" s="384">
        <v>60</v>
      </c>
      <c r="AM239" s="384">
        <v>60</v>
      </c>
      <c r="AN239" s="384">
        <v>60</v>
      </c>
      <c r="AO239" s="384">
        <v>60</v>
      </c>
      <c r="AP239" s="384">
        <v>60</v>
      </c>
      <c r="AQ239" s="384">
        <v>64</v>
      </c>
      <c r="AR239" s="384">
        <v>64</v>
      </c>
      <c r="AS239" s="384">
        <v>68</v>
      </c>
      <c r="AT239" s="384">
        <v>68</v>
      </c>
      <c r="AU239" s="384">
        <v>71</v>
      </c>
      <c r="AV239" s="384">
        <v>78</v>
      </c>
      <c r="AW239" s="384">
        <v>91</v>
      </c>
      <c r="AX239" s="384">
        <v>91</v>
      </c>
      <c r="BE239" s="380">
        <v>16</v>
      </c>
      <c r="BF239" s="384">
        <v>60</v>
      </c>
      <c r="BG239" s="384">
        <v>60</v>
      </c>
      <c r="BH239" s="384">
        <v>60</v>
      </c>
      <c r="BI239" s="384">
        <v>60</v>
      </c>
      <c r="BJ239" s="384">
        <v>60</v>
      </c>
      <c r="BK239" s="384">
        <v>60</v>
      </c>
      <c r="BL239" s="384">
        <v>60</v>
      </c>
      <c r="BM239" s="384">
        <v>60</v>
      </c>
      <c r="BN239" s="384">
        <v>60</v>
      </c>
      <c r="BO239" s="384">
        <v>60</v>
      </c>
      <c r="BP239" s="384">
        <v>60</v>
      </c>
      <c r="BQ239" s="384">
        <v>60</v>
      </c>
      <c r="BR239" s="384">
        <v>60</v>
      </c>
      <c r="BS239" s="384">
        <v>64</v>
      </c>
      <c r="BT239" s="384">
        <v>68</v>
      </c>
      <c r="BU239" s="384">
        <v>68</v>
      </c>
      <c r="BV239" s="384">
        <v>68</v>
      </c>
      <c r="BW239" s="384">
        <v>75</v>
      </c>
      <c r="BX239" s="384">
        <v>78</v>
      </c>
      <c r="BY239" s="384">
        <v>92</v>
      </c>
      <c r="BZ239" s="384">
        <v>92</v>
      </c>
      <c r="CG239" s="380">
        <v>16</v>
      </c>
      <c r="CH239" s="384">
        <v>60</v>
      </c>
      <c r="CI239" s="384">
        <v>60</v>
      </c>
      <c r="CJ239" s="384">
        <v>60</v>
      </c>
      <c r="CK239" s="384">
        <v>60</v>
      </c>
      <c r="CL239" s="384">
        <v>60</v>
      </c>
      <c r="CM239" s="384">
        <v>60</v>
      </c>
      <c r="CN239" s="384">
        <v>60</v>
      </c>
      <c r="CO239" s="384">
        <v>60</v>
      </c>
      <c r="CP239" s="384">
        <v>60</v>
      </c>
      <c r="CQ239" s="384">
        <v>60</v>
      </c>
      <c r="CR239" s="384">
        <v>60</v>
      </c>
      <c r="CS239" s="384">
        <v>60</v>
      </c>
      <c r="CT239" s="384">
        <v>60</v>
      </c>
      <c r="CU239" s="384">
        <v>64</v>
      </c>
      <c r="CV239" s="384">
        <v>68</v>
      </c>
      <c r="CW239" s="384">
        <v>68</v>
      </c>
      <c r="CX239" s="384">
        <v>71</v>
      </c>
      <c r="CY239" s="384">
        <v>75</v>
      </c>
      <c r="CZ239" s="384">
        <v>78</v>
      </c>
      <c r="DA239" s="384">
        <v>93</v>
      </c>
      <c r="DB239" s="384">
        <v>93</v>
      </c>
      <c r="DI239" s="380">
        <v>16</v>
      </c>
      <c r="DJ239" s="384">
        <v>64</v>
      </c>
      <c r="DK239" s="384">
        <v>64</v>
      </c>
      <c r="DL239" s="384">
        <v>64</v>
      </c>
      <c r="DM239" s="384">
        <v>64</v>
      </c>
      <c r="DN239" s="384">
        <v>64</v>
      </c>
      <c r="DO239" s="384">
        <v>64</v>
      </c>
      <c r="DP239" s="384">
        <v>64</v>
      </c>
      <c r="DQ239" s="384">
        <v>64</v>
      </c>
      <c r="DR239" s="384">
        <v>64</v>
      </c>
      <c r="DS239" s="384">
        <v>64</v>
      </c>
      <c r="DT239" s="384">
        <v>64</v>
      </c>
      <c r="DU239" s="384">
        <v>64</v>
      </c>
      <c r="DV239" s="384">
        <v>64</v>
      </c>
      <c r="DW239" s="384">
        <v>68</v>
      </c>
      <c r="DX239" s="384">
        <v>71</v>
      </c>
      <c r="DY239" s="384">
        <v>75</v>
      </c>
      <c r="DZ239" s="384">
        <v>75</v>
      </c>
      <c r="EA239" s="384">
        <v>78</v>
      </c>
      <c r="EB239" s="384">
        <v>84</v>
      </c>
      <c r="EC239" s="384">
        <v>96</v>
      </c>
      <c r="ED239" s="384">
        <v>96</v>
      </c>
    </row>
    <row r="240" spans="1:134" x14ac:dyDescent="0.15">
      <c r="A240" s="380">
        <v>17</v>
      </c>
      <c r="B240" s="384">
        <v>48</v>
      </c>
      <c r="C240" s="384">
        <v>48</v>
      </c>
      <c r="D240" s="384">
        <v>48</v>
      </c>
      <c r="E240" s="384">
        <v>48</v>
      </c>
      <c r="F240" s="384">
        <v>48</v>
      </c>
      <c r="G240" s="384">
        <v>48</v>
      </c>
      <c r="H240" s="384">
        <v>48</v>
      </c>
      <c r="I240" s="384">
        <v>48</v>
      </c>
      <c r="J240" s="384">
        <v>48</v>
      </c>
      <c r="K240" s="384">
        <v>48</v>
      </c>
      <c r="L240" s="384">
        <v>48</v>
      </c>
      <c r="M240" s="384">
        <v>48</v>
      </c>
      <c r="N240" s="384">
        <v>48</v>
      </c>
      <c r="O240" s="384">
        <v>48</v>
      </c>
      <c r="P240" s="384">
        <v>52</v>
      </c>
      <c r="Q240" s="384">
        <v>52</v>
      </c>
      <c r="R240" s="384">
        <v>56</v>
      </c>
      <c r="S240" s="384">
        <v>60</v>
      </c>
      <c r="T240" s="384">
        <v>64</v>
      </c>
      <c r="U240" s="384">
        <v>81</v>
      </c>
      <c r="V240" s="384">
        <v>81</v>
      </c>
      <c r="AC240" s="380">
        <v>17</v>
      </c>
      <c r="AD240" s="384">
        <v>60</v>
      </c>
      <c r="AE240" s="384">
        <v>60</v>
      </c>
      <c r="AF240" s="384">
        <v>60</v>
      </c>
      <c r="AG240" s="384">
        <v>60</v>
      </c>
      <c r="AH240" s="384">
        <v>60</v>
      </c>
      <c r="AI240" s="384">
        <v>60</v>
      </c>
      <c r="AJ240" s="384">
        <v>60</v>
      </c>
      <c r="AK240" s="384">
        <v>60</v>
      </c>
      <c r="AL240" s="384">
        <v>60</v>
      </c>
      <c r="AM240" s="384">
        <v>60</v>
      </c>
      <c r="AN240" s="384">
        <v>60</v>
      </c>
      <c r="AO240" s="384">
        <v>60</v>
      </c>
      <c r="AP240" s="384">
        <v>60</v>
      </c>
      <c r="AQ240" s="384">
        <v>64</v>
      </c>
      <c r="AR240" s="384">
        <v>64</v>
      </c>
      <c r="AS240" s="384">
        <v>68</v>
      </c>
      <c r="AT240" s="384">
        <v>68</v>
      </c>
      <c r="AU240" s="384">
        <v>71</v>
      </c>
      <c r="AV240" s="384">
        <v>78</v>
      </c>
      <c r="AW240" s="384">
        <v>91</v>
      </c>
      <c r="AX240" s="384">
        <v>91</v>
      </c>
      <c r="BE240" s="384">
        <v>17</v>
      </c>
      <c r="BF240" s="384">
        <v>60</v>
      </c>
      <c r="BG240" s="384">
        <v>60</v>
      </c>
      <c r="BH240" s="384">
        <v>60</v>
      </c>
      <c r="BI240" s="384">
        <v>60</v>
      </c>
      <c r="BJ240" s="384">
        <v>60</v>
      </c>
      <c r="BK240" s="384">
        <v>60</v>
      </c>
      <c r="BL240" s="384">
        <v>60</v>
      </c>
      <c r="BM240" s="384">
        <v>60</v>
      </c>
      <c r="BN240" s="384">
        <v>60</v>
      </c>
      <c r="BO240" s="384">
        <v>60</v>
      </c>
      <c r="BP240" s="384">
        <v>60</v>
      </c>
      <c r="BQ240" s="384">
        <v>60</v>
      </c>
      <c r="BR240" s="384">
        <v>60</v>
      </c>
      <c r="BS240" s="384">
        <v>64</v>
      </c>
      <c r="BT240" s="384">
        <v>68</v>
      </c>
      <c r="BU240" s="384">
        <v>68</v>
      </c>
      <c r="BV240" s="384">
        <v>68</v>
      </c>
      <c r="BW240" s="384">
        <v>75</v>
      </c>
      <c r="BX240" s="384">
        <v>78</v>
      </c>
      <c r="BY240" s="384">
        <v>92</v>
      </c>
      <c r="BZ240" s="384">
        <v>92</v>
      </c>
      <c r="CG240" s="380">
        <v>17</v>
      </c>
      <c r="CH240" s="384">
        <v>60</v>
      </c>
      <c r="CI240" s="384">
        <v>60</v>
      </c>
      <c r="CJ240" s="384">
        <v>60</v>
      </c>
      <c r="CK240" s="384">
        <v>60</v>
      </c>
      <c r="CL240" s="384">
        <v>60</v>
      </c>
      <c r="CM240" s="384">
        <v>60</v>
      </c>
      <c r="CN240" s="384">
        <v>60</v>
      </c>
      <c r="CO240" s="384">
        <v>60</v>
      </c>
      <c r="CP240" s="384">
        <v>60</v>
      </c>
      <c r="CQ240" s="384">
        <v>60</v>
      </c>
      <c r="CR240" s="384">
        <v>60</v>
      </c>
      <c r="CS240" s="384">
        <v>60</v>
      </c>
      <c r="CT240" s="384">
        <v>60</v>
      </c>
      <c r="CU240" s="384">
        <v>64</v>
      </c>
      <c r="CV240" s="384">
        <v>68</v>
      </c>
      <c r="CW240" s="384">
        <v>68</v>
      </c>
      <c r="CX240" s="384">
        <v>71</v>
      </c>
      <c r="CY240" s="384">
        <v>75</v>
      </c>
      <c r="CZ240" s="384">
        <v>78</v>
      </c>
      <c r="DA240" s="384">
        <v>93</v>
      </c>
      <c r="DB240" s="384">
        <v>93</v>
      </c>
      <c r="DI240" s="380">
        <v>17</v>
      </c>
      <c r="DJ240" s="384">
        <v>68</v>
      </c>
      <c r="DK240" s="384">
        <v>68</v>
      </c>
      <c r="DL240" s="384">
        <v>68</v>
      </c>
      <c r="DM240" s="384">
        <v>68</v>
      </c>
      <c r="DN240" s="384">
        <v>68</v>
      </c>
      <c r="DO240" s="384">
        <v>68</v>
      </c>
      <c r="DP240" s="384">
        <v>68</v>
      </c>
      <c r="DQ240" s="384">
        <v>68</v>
      </c>
      <c r="DR240" s="384">
        <v>68</v>
      </c>
      <c r="DS240" s="384">
        <v>68</v>
      </c>
      <c r="DT240" s="384">
        <v>68</v>
      </c>
      <c r="DU240" s="384">
        <v>68</v>
      </c>
      <c r="DV240" s="384">
        <v>68</v>
      </c>
      <c r="DW240" s="384">
        <v>71</v>
      </c>
      <c r="DX240" s="384">
        <v>75</v>
      </c>
      <c r="DY240" s="384">
        <v>78</v>
      </c>
      <c r="DZ240" s="384">
        <v>78</v>
      </c>
      <c r="EA240" s="384">
        <v>81</v>
      </c>
      <c r="EB240" s="384">
        <v>86</v>
      </c>
      <c r="EC240" s="384">
        <v>98</v>
      </c>
      <c r="ED240" s="384">
        <v>98</v>
      </c>
    </row>
    <row r="241" spans="1:134" x14ac:dyDescent="0.15">
      <c r="A241" s="380">
        <v>18</v>
      </c>
      <c r="B241" s="384">
        <v>52</v>
      </c>
      <c r="C241" s="384">
        <v>52</v>
      </c>
      <c r="D241" s="384">
        <v>52</v>
      </c>
      <c r="E241" s="384">
        <v>52</v>
      </c>
      <c r="F241" s="384">
        <v>52</v>
      </c>
      <c r="G241" s="384">
        <v>52</v>
      </c>
      <c r="H241" s="384">
        <v>52</v>
      </c>
      <c r="I241" s="384">
        <v>52</v>
      </c>
      <c r="J241" s="384">
        <v>52</v>
      </c>
      <c r="K241" s="384">
        <v>52</v>
      </c>
      <c r="L241" s="384">
        <v>52</v>
      </c>
      <c r="M241" s="384">
        <v>52</v>
      </c>
      <c r="N241" s="384">
        <v>52</v>
      </c>
      <c r="O241" s="384">
        <v>52</v>
      </c>
      <c r="P241" s="384">
        <v>56</v>
      </c>
      <c r="Q241" s="384">
        <v>56</v>
      </c>
      <c r="R241" s="384">
        <v>60</v>
      </c>
      <c r="S241" s="384">
        <v>64</v>
      </c>
      <c r="T241" s="384">
        <v>68</v>
      </c>
      <c r="U241" s="384">
        <v>83</v>
      </c>
      <c r="V241" s="384">
        <v>83</v>
      </c>
      <c r="AC241" s="380">
        <v>18</v>
      </c>
      <c r="AD241" s="384">
        <v>60</v>
      </c>
      <c r="AE241" s="384">
        <v>60</v>
      </c>
      <c r="AF241" s="384">
        <v>60</v>
      </c>
      <c r="AG241" s="384">
        <v>60</v>
      </c>
      <c r="AH241" s="384">
        <v>60</v>
      </c>
      <c r="AI241" s="384">
        <v>60</v>
      </c>
      <c r="AJ241" s="384">
        <v>60</v>
      </c>
      <c r="AK241" s="384">
        <v>60</v>
      </c>
      <c r="AL241" s="384">
        <v>60</v>
      </c>
      <c r="AM241" s="384">
        <v>60</v>
      </c>
      <c r="AN241" s="384">
        <v>60</v>
      </c>
      <c r="AO241" s="384">
        <v>60</v>
      </c>
      <c r="AP241" s="384">
        <v>60</v>
      </c>
      <c r="AQ241" s="384">
        <v>64</v>
      </c>
      <c r="AR241" s="384">
        <v>64</v>
      </c>
      <c r="AS241" s="384">
        <v>68</v>
      </c>
      <c r="AT241" s="384">
        <v>68</v>
      </c>
      <c r="AU241" s="384">
        <v>71</v>
      </c>
      <c r="AV241" s="384">
        <v>78</v>
      </c>
      <c r="AW241" s="384">
        <v>91</v>
      </c>
      <c r="AX241" s="384">
        <v>91</v>
      </c>
      <c r="BE241" s="380">
        <v>18</v>
      </c>
      <c r="BF241" s="384">
        <v>60</v>
      </c>
      <c r="BG241" s="384">
        <v>60</v>
      </c>
      <c r="BH241" s="384">
        <v>60</v>
      </c>
      <c r="BI241" s="384">
        <v>60</v>
      </c>
      <c r="BJ241" s="384">
        <v>60</v>
      </c>
      <c r="BK241" s="384">
        <v>60</v>
      </c>
      <c r="BL241" s="384">
        <v>60</v>
      </c>
      <c r="BM241" s="384">
        <v>60</v>
      </c>
      <c r="BN241" s="384">
        <v>60</v>
      </c>
      <c r="BO241" s="384">
        <v>60</v>
      </c>
      <c r="BP241" s="384">
        <v>60</v>
      </c>
      <c r="BQ241" s="384">
        <v>60</v>
      </c>
      <c r="BR241" s="384">
        <v>60</v>
      </c>
      <c r="BS241" s="384">
        <v>64</v>
      </c>
      <c r="BT241" s="384">
        <v>68</v>
      </c>
      <c r="BU241" s="384">
        <v>68</v>
      </c>
      <c r="BV241" s="384">
        <v>68</v>
      </c>
      <c r="BW241" s="384">
        <v>75</v>
      </c>
      <c r="BX241" s="384">
        <v>78</v>
      </c>
      <c r="BY241" s="384">
        <v>92</v>
      </c>
      <c r="BZ241" s="384">
        <v>92</v>
      </c>
      <c r="CG241" s="380">
        <v>18</v>
      </c>
      <c r="CH241" s="384">
        <v>64</v>
      </c>
      <c r="CI241" s="384">
        <v>64</v>
      </c>
      <c r="CJ241" s="384">
        <v>64</v>
      </c>
      <c r="CK241" s="384">
        <v>64</v>
      </c>
      <c r="CL241" s="384">
        <v>64</v>
      </c>
      <c r="CM241" s="384">
        <v>64</v>
      </c>
      <c r="CN241" s="384">
        <v>64</v>
      </c>
      <c r="CO241" s="384">
        <v>64</v>
      </c>
      <c r="CP241" s="384">
        <v>64</v>
      </c>
      <c r="CQ241" s="384">
        <v>64</v>
      </c>
      <c r="CR241" s="384">
        <v>64</v>
      </c>
      <c r="CS241" s="384">
        <v>64</v>
      </c>
      <c r="CT241" s="384">
        <v>64</v>
      </c>
      <c r="CU241" s="384">
        <v>68</v>
      </c>
      <c r="CV241" s="384">
        <v>71</v>
      </c>
      <c r="CW241" s="384">
        <v>71</v>
      </c>
      <c r="CX241" s="384">
        <v>75</v>
      </c>
      <c r="CY241" s="384">
        <v>78</v>
      </c>
      <c r="CZ241" s="384">
        <v>81</v>
      </c>
      <c r="DA241" s="384">
        <v>95</v>
      </c>
      <c r="DB241" s="384">
        <v>95</v>
      </c>
      <c r="DI241" s="380">
        <v>18</v>
      </c>
      <c r="DJ241" s="384">
        <v>68</v>
      </c>
      <c r="DK241" s="384">
        <v>68</v>
      </c>
      <c r="DL241" s="384">
        <v>68</v>
      </c>
      <c r="DM241" s="384">
        <v>68</v>
      </c>
      <c r="DN241" s="384">
        <v>68</v>
      </c>
      <c r="DO241" s="384">
        <v>68</v>
      </c>
      <c r="DP241" s="384">
        <v>68</v>
      </c>
      <c r="DQ241" s="384">
        <v>68</v>
      </c>
      <c r="DR241" s="384">
        <v>68</v>
      </c>
      <c r="DS241" s="384">
        <v>68</v>
      </c>
      <c r="DT241" s="384">
        <v>68</v>
      </c>
      <c r="DU241" s="384">
        <v>68</v>
      </c>
      <c r="DV241" s="384">
        <v>68</v>
      </c>
      <c r="DW241" s="384">
        <v>71</v>
      </c>
      <c r="DX241" s="384">
        <v>75</v>
      </c>
      <c r="DY241" s="384">
        <v>78</v>
      </c>
      <c r="DZ241" s="384">
        <v>78</v>
      </c>
      <c r="EA241" s="384">
        <v>81</v>
      </c>
      <c r="EB241" s="384">
        <v>86</v>
      </c>
      <c r="EC241" s="384">
        <v>98</v>
      </c>
      <c r="ED241" s="384">
        <v>98</v>
      </c>
    </row>
    <row r="242" spans="1:134" x14ac:dyDescent="0.15">
      <c r="A242" s="380">
        <v>19</v>
      </c>
      <c r="B242" s="384">
        <v>52</v>
      </c>
      <c r="C242" s="384">
        <v>52</v>
      </c>
      <c r="D242" s="384">
        <v>52</v>
      </c>
      <c r="E242" s="384">
        <v>52</v>
      </c>
      <c r="F242" s="384">
        <v>52</v>
      </c>
      <c r="G242" s="384">
        <v>52</v>
      </c>
      <c r="H242" s="384">
        <v>52</v>
      </c>
      <c r="I242" s="384">
        <v>52</v>
      </c>
      <c r="J242" s="384">
        <v>52</v>
      </c>
      <c r="K242" s="384">
        <v>52</v>
      </c>
      <c r="L242" s="384">
        <v>52</v>
      </c>
      <c r="M242" s="384">
        <v>52</v>
      </c>
      <c r="N242" s="384">
        <v>52</v>
      </c>
      <c r="O242" s="384">
        <v>52</v>
      </c>
      <c r="P242" s="384">
        <v>56</v>
      </c>
      <c r="Q242" s="384">
        <v>56</v>
      </c>
      <c r="R242" s="384">
        <v>60</v>
      </c>
      <c r="S242" s="384">
        <v>64</v>
      </c>
      <c r="T242" s="384">
        <v>68</v>
      </c>
      <c r="U242" s="384">
        <v>83</v>
      </c>
      <c r="V242" s="384">
        <v>83</v>
      </c>
      <c r="AC242" s="380">
        <v>19</v>
      </c>
      <c r="AD242" s="384">
        <v>60</v>
      </c>
      <c r="AE242" s="384">
        <v>60</v>
      </c>
      <c r="AF242" s="384">
        <v>60</v>
      </c>
      <c r="AG242" s="384">
        <v>60</v>
      </c>
      <c r="AH242" s="384">
        <v>60</v>
      </c>
      <c r="AI242" s="384">
        <v>60</v>
      </c>
      <c r="AJ242" s="384">
        <v>60</v>
      </c>
      <c r="AK242" s="384">
        <v>60</v>
      </c>
      <c r="AL242" s="384">
        <v>60</v>
      </c>
      <c r="AM242" s="384">
        <v>60</v>
      </c>
      <c r="AN242" s="384">
        <v>60</v>
      </c>
      <c r="AO242" s="384">
        <v>60</v>
      </c>
      <c r="AP242" s="384">
        <v>60</v>
      </c>
      <c r="AQ242" s="384">
        <v>64</v>
      </c>
      <c r="AR242" s="384">
        <v>64</v>
      </c>
      <c r="AS242" s="384">
        <v>68</v>
      </c>
      <c r="AT242" s="384">
        <v>68</v>
      </c>
      <c r="AU242" s="384">
        <v>71</v>
      </c>
      <c r="AV242" s="384">
        <v>78</v>
      </c>
      <c r="AW242" s="384">
        <v>91</v>
      </c>
      <c r="AX242" s="384">
        <v>91</v>
      </c>
      <c r="BE242" s="380">
        <v>19</v>
      </c>
      <c r="BF242" s="384">
        <v>64</v>
      </c>
      <c r="BG242" s="384">
        <v>64</v>
      </c>
      <c r="BH242" s="384">
        <v>64</v>
      </c>
      <c r="BI242" s="384">
        <v>64</v>
      </c>
      <c r="BJ242" s="384">
        <v>64</v>
      </c>
      <c r="BK242" s="384">
        <v>64</v>
      </c>
      <c r="BL242" s="384">
        <v>64</v>
      </c>
      <c r="BM242" s="384">
        <v>64</v>
      </c>
      <c r="BN242" s="384">
        <v>64</v>
      </c>
      <c r="BO242" s="384">
        <v>64</v>
      </c>
      <c r="BP242" s="384">
        <v>64</v>
      </c>
      <c r="BQ242" s="384">
        <v>64</v>
      </c>
      <c r="BR242" s="384">
        <v>64</v>
      </c>
      <c r="BS242" s="384">
        <v>68</v>
      </c>
      <c r="BT242" s="384">
        <v>71</v>
      </c>
      <c r="BU242" s="384">
        <v>71</v>
      </c>
      <c r="BV242" s="384">
        <v>71</v>
      </c>
      <c r="BW242" s="384">
        <v>78</v>
      </c>
      <c r="BX242" s="384">
        <v>81</v>
      </c>
      <c r="BY242" s="384">
        <v>95</v>
      </c>
      <c r="BZ242" s="384">
        <v>95</v>
      </c>
      <c r="CG242" s="380">
        <v>19</v>
      </c>
      <c r="CH242" s="384">
        <v>64</v>
      </c>
      <c r="CI242" s="384">
        <v>64</v>
      </c>
      <c r="CJ242" s="384">
        <v>64</v>
      </c>
      <c r="CK242" s="384">
        <v>64</v>
      </c>
      <c r="CL242" s="384">
        <v>64</v>
      </c>
      <c r="CM242" s="384">
        <v>64</v>
      </c>
      <c r="CN242" s="384">
        <v>64</v>
      </c>
      <c r="CO242" s="384">
        <v>64</v>
      </c>
      <c r="CP242" s="384">
        <v>64</v>
      </c>
      <c r="CQ242" s="384">
        <v>64</v>
      </c>
      <c r="CR242" s="384">
        <v>64</v>
      </c>
      <c r="CS242" s="384">
        <v>64</v>
      </c>
      <c r="CT242" s="384">
        <v>64</v>
      </c>
      <c r="CU242" s="384">
        <v>68</v>
      </c>
      <c r="CV242" s="384">
        <v>71</v>
      </c>
      <c r="CW242" s="384">
        <v>71</v>
      </c>
      <c r="CX242" s="384">
        <v>75</v>
      </c>
      <c r="CY242" s="384">
        <v>78</v>
      </c>
      <c r="CZ242" s="384">
        <v>81</v>
      </c>
      <c r="DA242" s="384">
        <v>95</v>
      </c>
      <c r="DB242" s="384">
        <v>95</v>
      </c>
      <c r="DI242" s="380">
        <v>19</v>
      </c>
      <c r="DJ242" s="384">
        <v>71</v>
      </c>
      <c r="DK242" s="384">
        <v>71</v>
      </c>
      <c r="DL242" s="384">
        <v>71</v>
      </c>
      <c r="DM242" s="384">
        <v>71</v>
      </c>
      <c r="DN242" s="384">
        <v>71</v>
      </c>
      <c r="DO242" s="384">
        <v>71</v>
      </c>
      <c r="DP242" s="384">
        <v>71</v>
      </c>
      <c r="DQ242" s="384">
        <v>71</v>
      </c>
      <c r="DR242" s="384">
        <v>71</v>
      </c>
      <c r="DS242" s="384">
        <v>71</v>
      </c>
      <c r="DT242" s="384">
        <v>71</v>
      </c>
      <c r="DU242" s="384">
        <v>71</v>
      </c>
      <c r="DV242" s="384">
        <v>71</v>
      </c>
      <c r="DW242" s="384">
        <v>75</v>
      </c>
      <c r="DX242" s="384">
        <v>78</v>
      </c>
      <c r="DY242" s="384">
        <v>81</v>
      </c>
      <c r="DZ242" s="384">
        <v>81</v>
      </c>
      <c r="EA242" s="384">
        <v>84</v>
      </c>
      <c r="EB242" s="384">
        <v>88</v>
      </c>
      <c r="EC242" s="384">
        <v>101</v>
      </c>
      <c r="ED242" s="384">
        <v>101</v>
      </c>
    </row>
    <row r="243" spans="1:134" x14ac:dyDescent="0.15">
      <c r="A243" s="380">
        <v>20</v>
      </c>
      <c r="B243" s="384">
        <v>56</v>
      </c>
      <c r="C243" s="384">
        <v>56</v>
      </c>
      <c r="D243" s="384">
        <v>56</v>
      </c>
      <c r="E243" s="384">
        <v>56</v>
      </c>
      <c r="F243" s="384">
        <v>56</v>
      </c>
      <c r="G243" s="384">
        <v>56</v>
      </c>
      <c r="H243" s="384">
        <v>56</v>
      </c>
      <c r="I243" s="384">
        <v>56</v>
      </c>
      <c r="J243" s="384">
        <v>56</v>
      </c>
      <c r="K243" s="384">
        <v>56</v>
      </c>
      <c r="L243" s="384">
        <v>56</v>
      </c>
      <c r="M243" s="384">
        <v>56</v>
      </c>
      <c r="N243" s="384">
        <v>56</v>
      </c>
      <c r="O243" s="384">
        <v>56</v>
      </c>
      <c r="P243" s="384">
        <v>60</v>
      </c>
      <c r="Q243" s="384">
        <v>60</v>
      </c>
      <c r="R243" s="384">
        <v>64</v>
      </c>
      <c r="S243" s="384">
        <v>68</v>
      </c>
      <c r="T243" s="384">
        <v>71</v>
      </c>
      <c r="U243" s="384">
        <v>86</v>
      </c>
      <c r="V243" s="384">
        <v>86</v>
      </c>
      <c r="AC243" s="380">
        <v>20</v>
      </c>
      <c r="AD243" s="384">
        <v>60</v>
      </c>
      <c r="AE243" s="384">
        <v>60</v>
      </c>
      <c r="AF243" s="384">
        <v>60</v>
      </c>
      <c r="AG243" s="384">
        <v>60</v>
      </c>
      <c r="AH243" s="384">
        <v>60</v>
      </c>
      <c r="AI243" s="384">
        <v>60</v>
      </c>
      <c r="AJ243" s="384">
        <v>60</v>
      </c>
      <c r="AK243" s="384">
        <v>60</v>
      </c>
      <c r="AL243" s="384">
        <v>60</v>
      </c>
      <c r="AM243" s="384">
        <v>60</v>
      </c>
      <c r="AN243" s="384">
        <v>60</v>
      </c>
      <c r="AO243" s="384">
        <v>60</v>
      </c>
      <c r="AP243" s="384">
        <v>60</v>
      </c>
      <c r="AQ243" s="384">
        <v>64</v>
      </c>
      <c r="AR243" s="384">
        <v>64</v>
      </c>
      <c r="AS243" s="384">
        <v>68</v>
      </c>
      <c r="AT243" s="384">
        <v>68</v>
      </c>
      <c r="AU243" s="384">
        <v>71</v>
      </c>
      <c r="AV243" s="384">
        <v>78</v>
      </c>
      <c r="AW243" s="384">
        <v>91</v>
      </c>
      <c r="AX243" s="384">
        <v>91</v>
      </c>
      <c r="BE243" s="380">
        <v>20</v>
      </c>
      <c r="BF243" s="384">
        <v>64</v>
      </c>
      <c r="BG243" s="384">
        <v>64</v>
      </c>
      <c r="BH243" s="384">
        <v>64</v>
      </c>
      <c r="BI243" s="384">
        <v>64</v>
      </c>
      <c r="BJ243" s="384">
        <v>64</v>
      </c>
      <c r="BK243" s="384">
        <v>64</v>
      </c>
      <c r="BL243" s="384">
        <v>64</v>
      </c>
      <c r="BM243" s="384">
        <v>64</v>
      </c>
      <c r="BN243" s="384">
        <v>64</v>
      </c>
      <c r="BO243" s="384">
        <v>64</v>
      </c>
      <c r="BP243" s="384">
        <v>64</v>
      </c>
      <c r="BQ243" s="384">
        <v>64</v>
      </c>
      <c r="BR243" s="384">
        <v>64</v>
      </c>
      <c r="BS243" s="384">
        <v>68</v>
      </c>
      <c r="BT243" s="384">
        <v>71</v>
      </c>
      <c r="BU243" s="384">
        <v>71</v>
      </c>
      <c r="BV243" s="384">
        <v>71</v>
      </c>
      <c r="BW243" s="384">
        <v>78</v>
      </c>
      <c r="BX243" s="384">
        <v>81</v>
      </c>
      <c r="BY243" s="384">
        <v>95</v>
      </c>
      <c r="BZ243" s="384">
        <v>95</v>
      </c>
      <c r="CG243" s="380">
        <v>20</v>
      </c>
      <c r="CH243" s="384">
        <v>64</v>
      </c>
      <c r="CI243" s="384">
        <v>64</v>
      </c>
      <c r="CJ243" s="384">
        <v>64</v>
      </c>
      <c r="CK243" s="384">
        <v>64</v>
      </c>
      <c r="CL243" s="384">
        <v>64</v>
      </c>
      <c r="CM243" s="384">
        <v>64</v>
      </c>
      <c r="CN243" s="384">
        <v>64</v>
      </c>
      <c r="CO243" s="384">
        <v>64</v>
      </c>
      <c r="CP243" s="384">
        <v>64</v>
      </c>
      <c r="CQ243" s="384">
        <v>64</v>
      </c>
      <c r="CR243" s="384">
        <v>64</v>
      </c>
      <c r="CS243" s="384">
        <v>64</v>
      </c>
      <c r="CT243" s="384">
        <v>64</v>
      </c>
      <c r="CU243" s="384">
        <v>68</v>
      </c>
      <c r="CV243" s="384">
        <v>71</v>
      </c>
      <c r="CW243" s="384">
        <v>71</v>
      </c>
      <c r="CX243" s="384">
        <v>75</v>
      </c>
      <c r="CY243" s="384">
        <v>78</v>
      </c>
      <c r="CZ243" s="384">
        <v>81</v>
      </c>
      <c r="DA243" s="384">
        <v>95</v>
      </c>
      <c r="DB243" s="384">
        <v>95</v>
      </c>
      <c r="DI243" s="380">
        <v>20</v>
      </c>
      <c r="DJ243" s="384">
        <v>71</v>
      </c>
      <c r="DK243" s="384">
        <v>71</v>
      </c>
      <c r="DL243" s="384">
        <v>71</v>
      </c>
      <c r="DM243" s="384">
        <v>71</v>
      </c>
      <c r="DN243" s="384">
        <v>71</v>
      </c>
      <c r="DO243" s="384">
        <v>71</v>
      </c>
      <c r="DP243" s="384">
        <v>71</v>
      </c>
      <c r="DQ243" s="384">
        <v>71</v>
      </c>
      <c r="DR243" s="384">
        <v>71</v>
      </c>
      <c r="DS243" s="384">
        <v>71</v>
      </c>
      <c r="DT243" s="384">
        <v>71</v>
      </c>
      <c r="DU243" s="384">
        <v>71</v>
      </c>
      <c r="DV243" s="384">
        <v>71</v>
      </c>
      <c r="DW243" s="384">
        <v>75</v>
      </c>
      <c r="DX243" s="384">
        <v>78</v>
      </c>
      <c r="DY243" s="384">
        <v>81</v>
      </c>
      <c r="DZ243" s="384">
        <v>81</v>
      </c>
      <c r="EA243" s="384">
        <v>84</v>
      </c>
      <c r="EB243" s="384">
        <v>88</v>
      </c>
      <c r="EC243" s="384">
        <v>101</v>
      </c>
      <c r="ED243" s="384">
        <v>101</v>
      </c>
    </row>
    <row r="244" spans="1:134" x14ac:dyDescent="0.15">
      <c r="A244" s="380">
        <v>21</v>
      </c>
      <c r="B244" s="384">
        <v>60</v>
      </c>
      <c r="C244" s="384">
        <v>60</v>
      </c>
      <c r="D244" s="384">
        <v>60</v>
      </c>
      <c r="E244" s="384">
        <v>60</v>
      </c>
      <c r="F244" s="384">
        <v>60</v>
      </c>
      <c r="G244" s="384">
        <v>60</v>
      </c>
      <c r="H244" s="384">
        <v>60</v>
      </c>
      <c r="I244" s="384">
        <v>60</v>
      </c>
      <c r="J244" s="384">
        <v>60</v>
      </c>
      <c r="K244" s="384">
        <v>60</v>
      </c>
      <c r="L244" s="384">
        <v>60</v>
      </c>
      <c r="M244" s="384">
        <v>60</v>
      </c>
      <c r="N244" s="384">
        <v>60</v>
      </c>
      <c r="O244" s="384">
        <v>60</v>
      </c>
      <c r="P244" s="384">
        <v>64</v>
      </c>
      <c r="Q244" s="384">
        <v>64</v>
      </c>
      <c r="R244" s="384">
        <v>68</v>
      </c>
      <c r="S244" s="384">
        <v>71</v>
      </c>
      <c r="T244" s="384">
        <v>75</v>
      </c>
      <c r="U244" s="384">
        <v>89</v>
      </c>
      <c r="V244" s="384">
        <v>89</v>
      </c>
      <c r="AC244" s="380">
        <v>21</v>
      </c>
      <c r="AD244" s="384">
        <v>64</v>
      </c>
      <c r="AE244" s="384">
        <v>64</v>
      </c>
      <c r="AF244" s="384">
        <v>64</v>
      </c>
      <c r="AG244" s="384">
        <v>64</v>
      </c>
      <c r="AH244" s="384">
        <v>64</v>
      </c>
      <c r="AI244" s="384">
        <v>64</v>
      </c>
      <c r="AJ244" s="384">
        <v>64</v>
      </c>
      <c r="AK244" s="384">
        <v>64</v>
      </c>
      <c r="AL244" s="384">
        <v>64</v>
      </c>
      <c r="AM244" s="384">
        <v>64</v>
      </c>
      <c r="AN244" s="384">
        <v>64</v>
      </c>
      <c r="AO244" s="384">
        <v>64</v>
      </c>
      <c r="AP244" s="384">
        <v>64</v>
      </c>
      <c r="AQ244" s="384">
        <v>68</v>
      </c>
      <c r="AR244" s="384">
        <v>68</v>
      </c>
      <c r="AS244" s="384">
        <v>71</v>
      </c>
      <c r="AT244" s="384">
        <v>71</v>
      </c>
      <c r="AU244" s="384">
        <v>75</v>
      </c>
      <c r="AV244" s="384">
        <v>81</v>
      </c>
      <c r="AW244" s="384">
        <v>94</v>
      </c>
      <c r="AX244" s="384">
        <v>94</v>
      </c>
      <c r="BE244" s="380">
        <v>21</v>
      </c>
      <c r="BF244" s="384">
        <v>64</v>
      </c>
      <c r="BG244" s="384">
        <v>64</v>
      </c>
      <c r="BH244" s="384">
        <v>64</v>
      </c>
      <c r="BI244" s="384">
        <v>64</v>
      </c>
      <c r="BJ244" s="384">
        <v>64</v>
      </c>
      <c r="BK244" s="384">
        <v>64</v>
      </c>
      <c r="BL244" s="384">
        <v>64</v>
      </c>
      <c r="BM244" s="384">
        <v>64</v>
      </c>
      <c r="BN244" s="384">
        <v>64</v>
      </c>
      <c r="BO244" s="384">
        <v>64</v>
      </c>
      <c r="BP244" s="384">
        <v>64</v>
      </c>
      <c r="BQ244" s="384">
        <v>64</v>
      </c>
      <c r="BR244" s="384">
        <v>64</v>
      </c>
      <c r="BS244" s="384">
        <v>68</v>
      </c>
      <c r="BT244" s="384">
        <v>71</v>
      </c>
      <c r="BU244" s="384">
        <v>71</v>
      </c>
      <c r="BV244" s="384">
        <v>71</v>
      </c>
      <c r="BW244" s="384">
        <v>78</v>
      </c>
      <c r="BX244" s="384">
        <v>81</v>
      </c>
      <c r="BY244" s="384">
        <v>95</v>
      </c>
      <c r="BZ244" s="384">
        <v>95</v>
      </c>
      <c r="CG244" s="380">
        <v>21</v>
      </c>
      <c r="CH244" s="384">
        <v>68</v>
      </c>
      <c r="CI244" s="384">
        <v>68</v>
      </c>
      <c r="CJ244" s="384">
        <v>68</v>
      </c>
      <c r="CK244" s="384">
        <v>68</v>
      </c>
      <c r="CL244" s="384">
        <v>68</v>
      </c>
      <c r="CM244" s="384">
        <v>68</v>
      </c>
      <c r="CN244" s="384">
        <v>68</v>
      </c>
      <c r="CO244" s="384">
        <v>68</v>
      </c>
      <c r="CP244" s="384">
        <v>68</v>
      </c>
      <c r="CQ244" s="384">
        <v>68</v>
      </c>
      <c r="CR244" s="384">
        <v>68</v>
      </c>
      <c r="CS244" s="384">
        <v>68</v>
      </c>
      <c r="CT244" s="384">
        <v>68</v>
      </c>
      <c r="CU244" s="384">
        <v>71</v>
      </c>
      <c r="CV244" s="384">
        <v>75</v>
      </c>
      <c r="CW244" s="384">
        <v>75</v>
      </c>
      <c r="CX244" s="384">
        <v>78</v>
      </c>
      <c r="CY244" s="384">
        <v>81</v>
      </c>
      <c r="CZ244" s="384">
        <v>84</v>
      </c>
      <c r="DA244" s="384">
        <v>98</v>
      </c>
      <c r="DB244" s="384">
        <v>98</v>
      </c>
      <c r="DI244" s="380">
        <v>21</v>
      </c>
      <c r="DJ244" s="384">
        <v>71</v>
      </c>
      <c r="DK244" s="384">
        <v>71</v>
      </c>
      <c r="DL244" s="384">
        <v>71</v>
      </c>
      <c r="DM244" s="384">
        <v>71</v>
      </c>
      <c r="DN244" s="384">
        <v>71</v>
      </c>
      <c r="DO244" s="384">
        <v>71</v>
      </c>
      <c r="DP244" s="384">
        <v>71</v>
      </c>
      <c r="DQ244" s="384">
        <v>71</v>
      </c>
      <c r="DR244" s="384">
        <v>71</v>
      </c>
      <c r="DS244" s="384">
        <v>71</v>
      </c>
      <c r="DT244" s="384">
        <v>71</v>
      </c>
      <c r="DU244" s="384">
        <v>71</v>
      </c>
      <c r="DV244" s="384">
        <v>71</v>
      </c>
      <c r="DW244" s="384">
        <v>75</v>
      </c>
      <c r="DX244" s="384">
        <v>78</v>
      </c>
      <c r="DY244" s="384">
        <v>81</v>
      </c>
      <c r="DZ244" s="384">
        <v>81</v>
      </c>
      <c r="EA244" s="384">
        <v>84</v>
      </c>
      <c r="EB244" s="384">
        <v>88</v>
      </c>
      <c r="EC244" s="384">
        <v>101</v>
      </c>
      <c r="ED244" s="384">
        <v>101</v>
      </c>
    </row>
    <row r="245" spans="1:134" x14ac:dyDescent="0.15">
      <c r="A245" s="380">
        <v>22</v>
      </c>
      <c r="B245" s="384">
        <v>60</v>
      </c>
      <c r="C245" s="384">
        <v>60</v>
      </c>
      <c r="D245" s="384">
        <v>60</v>
      </c>
      <c r="E245" s="384">
        <v>60</v>
      </c>
      <c r="F245" s="384">
        <v>60</v>
      </c>
      <c r="G245" s="384">
        <v>60</v>
      </c>
      <c r="H245" s="384">
        <v>60</v>
      </c>
      <c r="I245" s="384">
        <v>60</v>
      </c>
      <c r="J245" s="384">
        <v>60</v>
      </c>
      <c r="K245" s="384">
        <v>60</v>
      </c>
      <c r="L245" s="384">
        <v>60</v>
      </c>
      <c r="M245" s="384">
        <v>60</v>
      </c>
      <c r="N245" s="384">
        <v>60</v>
      </c>
      <c r="O245" s="384">
        <v>60</v>
      </c>
      <c r="P245" s="384">
        <v>64</v>
      </c>
      <c r="Q245" s="384">
        <v>64</v>
      </c>
      <c r="R245" s="384">
        <v>68</v>
      </c>
      <c r="S245" s="384">
        <v>71</v>
      </c>
      <c r="T245" s="384">
        <v>75</v>
      </c>
      <c r="U245" s="384">
        <v>89</v>
      </c>
      <c r="V245" s="384">
        <v>89</v>
      </c>
      <c r="AC245" s="380">
        <v>22</v>
      </c>
      <c r="AD245" s="384">
        <v>64</v>
      </c>
      <c r="AE245" s="384">
        <v>64</v>
      </c>
      <c r="AF245" s="384">
        <v>64</v>
      </c>
      <c r="AG245" s="384">
        <v>64</v>
      </c>
      <c r="AH245" s="384">
        <v>64</v>
      </c>
      <c r="AI245" s="384">
        <v>64</v>
      </c>
      <c r="AJ245" s="384">
        <v>64</v>
      </c>
      <c r="AK245" s="384">
        <v>64</v>
      </c>
      <c r="AL245" s="384">
        <v>64</v>
      </c>
      <c r="AM245" s="384">
        <v>64</v>
      </c>
      <c r="AN245" s="384">
        <v>64</v>
      </c>
      <c r="AO245" s="384">
        <v>64</v>
      </c>
      <c r="AP245" s="384">
        <v>64</v>
      </c>
      <c r="AQ245" s="384">
        <v>68</v>
      </c>
      <c r="AR245" s="384">
        <v>68</v>
      </c>
      <c r="AS245" s="384">
        <v>71</v>
      </c>
      <c r="AT245" s="384">
        <v>71</v>
      </c>
      <c r="AU245" s="384">
        <v>75</v>
      </c>
      <c r="AV245" s="384">
        <v>81</v>
      </c>
      <c r="AW245" s="384">
        <v>94</v>
      </c>
      <c r="AX245" s="384">
        <v>94</v>
      </c>
      <c r="BE245" s="380">
        <v>22</v>
      </c>
      <c r="BF245" s="384">
        <v>64</v>
      </c>
      <c r="BG245" s="384">
        <v>64</v>
      </c>
      <c r="BH245" s="384">
        <v>64</v>
      </c>
      <c r="BI245" s="384">
        <v>64</v>
      </c>
      <c r="BJ245" s="384">
        <v>64</v>
      </c>
      <c r="BK245" s="384">
        <v>64</v>
      </c>
      <c r="BL245" s="384">
        <v>64</v>
      </c>
      <c r="BM245" s="384">
        <v>64</v>
      </c>
      <c r="BN245" s="384">
        <v>64</v>
      </c>
      <c r="BO245" s="384">
        <v>64</v>
      </c>
      <c r="BP245" s="384">
        <v>64</v>
      </c>
      <c r="BQ245" s="384">
        <v>64</v>
      </c>
      <c r="BR245" s="384">
        <v>64</v>
      </c>
      <c r="BS245" s="384">
        <v>68</v>
      </c>
      <c r="BT245" s="384">
        <v>71</v>
      </c>
      <c r="BU245" s="384">
        <v>71</v>
      </c>
      <c r="BV245" s="384">
        <v>71</v>
      </c>
      <c r="BW245" s="384">
        <v>78</v>
      </c>
      <c r="BX245" s="384">
        <v>81</v>
      </c>
      <c r="BY245" s="384">
        <v>95</v>
      </c>
      <c r="BZ245" s="384">
        <v>95</v>
      </c>
      <c r="CG245" s="380">
        <v>22</v>
      </c>
      <c r="CH245" s="384">
        <v>68</v>
      </c>
      <c r="CI245" s="384">
        <v>68</v>
      </c>
      <c r="CJ245" s="384">
        <v>68</v>
      </c>
      <c r="CK245" s="384">
        <v>68</v>
      </c>
      <c r="CL245" s="384">
        <v>68</v>
      </c>
      <c r="CM245" s="384">
        <v>68</v>
      </c>
      <c r="CN245" s="384">
        <v>68</v>
      </c>
      <c r="CO245" s="384">
        <v>68</v>
      </c>
      <c r="CP245" s="384">
        <v>68</v>
      </c>
      <c r="CQ245" s="384">
        <v>68</v>
      </c>
      <c r="CR245" s="384">
        <v>68</v>
      </c>
      <c r="CS245" s="384">
        <v>68</v>
      </c>
      <c r="CT245" s="384">
        <v>68</v>
      </c>
      <c r="CU245" s="384">
        <v>71</v>
      </c>
      <c r="CV245" s="384">
        <v>75</v>
      </c>
      <c r="CW245" s="384">
        <v>75</v>
      </c>
      <c r="CX245" s="384">
        <v>78</v>
      </c>
      <c r="CY245" s="384">
        <v>81</v>
      </c>
      <c r="CZ245" s="384">
        <v>84</v>
      </c>
      <c r="DA245" s="384">
        <v>98</v>
      </c>
      <c r="DB245" s="384">
        <v>98</v>
      </c>
      <c r="DI245" s="380">
        <v>22</v>
      </c>
      <c r="DJ245" s="384">
        <v>75</v>
      </c>
      <c r="DK245" s="384">
        <v>75</v>
      </c>
      <c r="DL245" s="384">
        <v>75</v>
      </c>
      <c r="DM245" s="384">
        <v>75</v>
      </c>
      <c r="DN245" s="384">
        <v>75</v>
      </c>
      <c r="DO245" s="384">
        <v>75</v>
      </c>
      <c r="DP245" s="384">
        <v>75</v>
      </c>
      <c r="DQ245" s="384">
        <v>75</v>
      </c>
      <c r="DR245" s="384">
        <v>75</v>
      </c>
      <c r="DS245" s="384">
        <v>75</v>
      </c>
      <c r="DT245" s="384">
        <v>75</v>
      </c>
      <c r="DU245" s="384">
        <v>75</v>
      </c>
      <c r="DV245" s="384">
        <v>75</v>
      </c>
      <c r="DW245" s="384">
        <v>78</v>
      </c>
      <c r="DX245" s="384">
        <v>81</v>
      </c>
      <c r="DY245" s="384">
        <v>84</v>
      </c>
      <c r="DZ245" s="384">
        <v>84</v>
      </c>
      <c r="EA245" s="384">
        <v>86</v>
      </c>
      <c r="EB245" s="384">
        <v>91</v>
      </c>
      <c r="EC245" s="384">
        <v>104</v>
      </c>
      <c r="ED245" s="384">
        <v>104</v>
      </c>
    </row>
    <row r="246" spans="1:134" x14ac:dyDescent="0.15">
      <c r="A246" s="380">
        <v>23</v>
      </c>
      <c r="B246" s="384">
        <v>64</v>
      </c>
      <c r="C246" s="384">
        <v>64</v>
      </c>
      <c r="D246" s="384">
        <v>64</v>
      </c>
      <c r="E246" s="384">
        <v>64</v>
      </c>
      <c r="F246" s="384">
        <v>64</v>
      </c>
      <c r="G246" s="384">
        <v>64</v>
      </c>
      <c r="H246" s="384">
        <v>64</v>
      </c>
      <c r="I246" s="384">
        <v>64</v>
      </c>
      <c r="J246" s="384">
        <v>64</v>
      </c>
      <c r="K246" s="384">
        <v>64</v>
      </c>
      <c r="L246" s="384">
        <v>64</v>
      </c>
      <c r="M246" s="384">
        <v>64</v>
      </c>
      <c r="N246" s="384">
        <v>64</v>
      </c>
      <c r="O246" s="384">
        <v>64</v>
      </c>
      <c r="P246" s="384">
        <v>68</v>
      </c>
      <c r="Q246" s="384">
        <v>68</v>
      </c>
      <c r="R246" s="384">
        <v>71</v>
      </c>
      <c r="S246" s="384">
        <v>75</v>
      </c>
      <c r="T246" s="384">
        <v>78</v>
      </c>
      <c r="U246" s="384">
        <v>92</v>
      </c>
      <c r="V246" s="384">
        <v>92</v>
      </c>
      <c r="AC246" s="380">
        <v>23</v>
      </c>
      <c r="AD246" s="384">
        <v>64</v>
      </c>
      <c r="AE246" s="384">
        <v>64</v>
      </c>
      <c r="AF246" s="384">
        <v>64</v>
      </c>
      <c r="AG246" s="384">
        <v>64</v>
      </c>
      <c r="AH246" s="384">
        <v>64</v>
      </c>
      <c r="AI246" s="384">
        <v>64</v>
      </c>
      <c r="AJ246" s="384">
        <v>64</v>
      </c>
      <c r="AK246" s="384">
        <v>64</v>
      </c>
      <c r="AL246" s="384">
        <v>64</v>
      </c>
      <c r="AM246" s="384">
        <v>64</v>
      </c>
      <c r="AN246" s="384">
        <v>64</v>
      </c>
      <c r="AO246" s="384">
        <v>64</v>
      </c>
      <c r="AP246" s="384">
        <v>64</v>
      </c>
      <c r="AQ246" s="384">
        <v>68</v>
      </c>
      <c r="AR246" s="384">
        <v>68</v>
      </c>
      <c r="AS246" s="384">
        <v>71</v>
      </c>
      <c r="AT246" s="384">
        <v>71</v>
      </c>
      <c r="AU246" s="384">
        <v>75</v>
      </c>
      <c r="AV246" s="384">
        <v>81</v>
      </c>
      <c r="AW246" s="384">
        <v>94</v>
      </c>
      <c r="AX246" s="384">
        <v>94</v>
      </c>
      <c r="BE246" s="380">
        <v>23</v>
      </c>
      <c r="BF246" s="384">
        <v>68</v>
      </c>
      <c r="BG246" s="384">
        <v>68</v>
      </c>
      <c r="BH246" s="384">
        <v>68</v>
      </c>
      <c r="BI246" s="384">
        <v>68</v>
      </c>
      <c r="BJ246" s="384">
        <v>68</v>
      </c>
      <c r="BK246" s="384">
        <v>68</v>
      </c>
      <c r="BL246" s="384">
        <v>68</v>
      </c>
      <c r="BM246" s="384">
        <v>68</v>
      </c>
      <c r="BN246" s="384">
        <v>68</v>
      </c>
      <c r="BO246" s="384">
        <v>68</v>
      </c>
      <c r="BP246" s="384">
        <v>68</v>
      </c>
      <c r="BQ246" s="384">
        <v>68</v>
      </c>
      <c r="BR246" s="384">
        <v>68</v>
      </c>
      <c r="BS246" s="384">
        <v>71</v>
      </c>
      <c r="BT246" s="384">
        <v>75</v>
      </c>
      <c r="BU246" s="384">
        <v>75</v>
      </c>
      <c r="BV246" s="384">
        <v>75</v>
      </c>
      <c r="BW246" s="384">
        <v>81</v>
      </c>
      <c r="BX246" s="384">
        <v>84</v>
      </c>
      <c r="BY246" s="395">
        <v>98</v>
      </c>
      <c r="BZ246" s="395">
        <v>98</v>
      </c>
      <c r="CG246" s="380">
        <v>23</v>
      </c>
      <c r="CH246" s="384">
        <v>71</v>
      </c>
      <c r="CI246" s="384">
        <v>71</v>
      </c>
      <c r="CJ246" s="384">
        <v>71</v>
      </c>
      <c r="CK246" s="384">
        <v>71</v>
      </c>
      <c r="CL246" s="384">
        <v>71</v>
      </c>
      <c r="CM246" s="384">
        <v>71</v>
      </c>
      <c r="CN246" s="384">
        <v>71</v>
      </c>
      <c r="CO246" s="384">
        <v>71</v>
      </c>
      <c r="CP246" s="384">
        <v>71</v>
      </c>
      <c r="CQ246" s="384">
        <v>71</v>
      </c>
      <c r="CR246" s="384">
        <v>71</v>
      </c>
      <c r="CS246" s="384">
        <v>71</v>
      </c>
      <c r="CT246" s="384">
        <v>71</v>
      </c>
      <c r="CU246" s="384">
        <v>75</v>
      </c>
      <c r="CV246" s="384">
        <v>78</v>
      </c>
      <c r="CW246" s="384">
        <v>78</v>
      </c>
      <c r="CX246" s="384">
        <v>81</v>
      </c>
      <c r="CY246" s="384">
        <v>84</v>
      </c>
      <c r="CZ246" s="384">
        <v>86</v>
      </c>
      <c r="DA246" s="384">
        <v>101</v>
      </c>
      <c r="DB246" s="384">
        <v>101</v>
      </c>
      <c r="DI246" s="380">
        <v>23</v>
      </c>
      <c r="DJ246" s="384">
        <v>75</v>
      </c>
      <c r="DK246" s="384">
        <v>75</v>
      </c>
      <c r="DL246" s="384">
        <v>75</v>
      </c>
      <c r="DM246" s="384">
        <v>75</v>
      </c>
      <c r="DN246" s="384">
        <v>75</v>
      </c>
      <c r="DO246" s="384">
        <v>75</v>
      </c>
      <c r="DP246" s="384">
        <v>75</v>
      </c>
      <c r="DQ246" s="384">
        <v>75</v>
      </c>
      <c r="DR246" s="384">
        <v>75</v>
      </c>
      <c r="DS246" s="384">
        <v>75</v>
      </c>
      <c r="DT246" s="384">
        <v>75</v>
      </c>
      <c r="DU246" s="384">
        <v>75</v>
      </c>
      <c r="DV246" s="384">
        <v>75</v>
      </c>
      <c r="DW246" s="384">
        <v>78</v>
      </c>
      <c r="DX246" s="384">
        <v>81</v>
      </c>
      <c r="DY246" s="384">
        <v>84</v>
      </c>
      <c r="DZ246" s="384">
        <v>84</v>
      </c>
      <c r="EA246" s="384">
        <v>86</v>
      </c>
      <c r="EB246" s="384">
        <v>91</v>
      </c>
      <c r="EC246" s="384">
        <v>104</v>
      </c>
      <c r="ED246" s="384">
        <v>104</v>
      </c>
    </row>
    <row r="247" spans="1:134" x14ac:dyDescent="0.15">
      <c r="A247" s="380">
        <v>24</v>
      </c>
      <c r="B247" s="384">
        <v>64</v>
      </c>
      <c r="C247" s="384">
        <v>64</v>
      </c>
      <c r="D247" s="384">
        <v>64</v>
      </c>
      <c r="E247" s="384">
        <v>64</v>
      </c>
      <c r="F247" s="384">
        <v>64</v>
      </c>
      <c r="G247" s="384">
        <v>64</v>
      </c>
      <c r="H247" s="384">
        <v>64</v>
      </c>
      <c r="I247" s="384">
        <v>64</v>
      </c>
      <c r="J247" s="384">
        <v>64</v>
      </c>
      <c r="K247" s="384">
        <v>64</v>
      </c>
      <c r="L247" s="384">
        <v>64</v>
      </c>
      <c r="M247" s="384">
        <v>64</v>
      </c>
      <c r="N247" s="384">
        <v>64</v>
      </c>
      <c r="O247" s="384">
        <v>64</v>
      </c>
      <c r="P247" s="384">
        <v>68</v>
      </c>
      <c r="Q247" s="384">
        <v>68</v>
      </c>
      <c r="R247" s="384">
        <v>71</v>
      </c>
      <c r="S247" s="384">
        <v>75</v>
      </c>
      <c r="T247" s="384">
        <v>78</v>
      </c>
      <c r="U247" s="384">
        <v>92</v>
      </c>
      <c r="V247" s="384">
        <v>92</v>
      </c>
      <c r="AC247" s="380">
        <v>24</v>
      </c>
      <c r="AD247" s="384">
        <v>64</v>
      </c>
      <c r="AE247" s="384">
        <v>64</v>
      </c>
      <c r="AF247" s="384">
        <v>64</v>
      </c>
      <c r="AG247" s="384">
        <v>64</v>
      </c>
      <c r="AH247" s="384">
        <v>64</v>
      </c>
      <c r="AI247" s="384">
        <v>64</v>
      </c>
      <c r="AJ247" s="384">
        <v>64</v>
      </c>
      <c r="AK247" s="384">
        <v>64</v>
      </c>
      <c r="AL247" s="384">
        <v>64</v>
      </c>
      <c r="AM247" s="384">
        <v>64</v>
      </c>
      <c r="AN247" s="384">
        <v>64</v>
      </c>
      <c r="AO247" s="384">
        <v>64</v>
      </c>
      <c r="AP247" s="384">
        <v>64</v>
      </c>
      <c r="AQ247" s="384">
        <v>68</v>
      </c>
      <c r="AR247" s="384">
        <v>68</v>
      </c>
      <c r="AS247" s="384">
        <v>71</v>
      </c>
      <c r="AT247" s="384">
        <v>71</v>
      </c>
      <c r="AU247" s="384">
        <v>75</v>
      </c>
      <c r="AV247" s="384">
        <v>81</v>
      </c>
      <c r="AW247" s="384">
        <v>94</v>
      </c>
      <c r="AX247" s="384">
        <v>94</v>
      </c>
      <c r="BE247" s="380">
        <v>24</v>
      </c>
      <c r="BF247" s="384">
        <v>68</v>
      </c>
      <c r="BG247" s="384">
        <v>68</v>
      </c>
      <c r="BH247" s="384">
        <v>68</v>
      </c>
      <c r="BI247" s="384">
        <v>68</v>
      </c>
      <c r="BJ247" s="384">
        <v>68</v>
      </c>
      <c r="BK247" s="384">
        <v>68</v>
      </c>
      <c r="BL247" s="384">
        <v>68</v>
      </c>
      <c r="BM247" s="384">
        <v>68</v>
      </c>
      <c r="BN247" s="384">
        <v>68</v>
      </c>
      <c r="BO247" s="384">
        <v>68</v>
      </c>
      <c r="BP247" s="384">
        <v>68</v>
      </c>
      <c r="BQ247" s="384">
        <v>68</v>
      </c>
      <c r="BR247" s="384">
        <v>68</v>
      </c>
      <c r="BS247" s="384">
        <v>71</v>
      </c>
      <c r="BT247" s="384">
        <v>75</v>
      </c>
      <c r="BU247" s="384">
        <v>75</v>
      </c>
      <c r="BV247" s="384">
        <v>75</v>
      </c>
      <c r="BW247" s="384">
        <v>81</v>
      </c>
      <c r="BX247" s="384">
        <v>84</v>
      </c>
      <c r="BY247" s="384">
        <v>98</v>
      </c>
      <c r="BZ247" s="384">
        <v>98</v>
      </c>
      <c r="CG247" s="380">
        <v>24</v>
      </c>
      <c r="CH247" s="384">
        <v>71</v>
      </c>
      <c r="CI247" s="384">
        <v>71</v>
      </c>
      <c r="CJ247" s="384">
        <v>71</v>
      </c>
      <c r="CK247" s="384">
        <v>71</v>
      </c>
      <c r="CL247" s="384">
        <v>71</v>
      </c>
      <c r="CM247" s="384">
        <v>71</v>
      </c>
      <c r="CN247" s="384">
        <v>71</v>
      </c>
      <c r="CO247" s="384">
        <v>71</v>
      </c>
      <c r="CP247" s="384">
        <v>71</v>
      </c>
      <c r="CQ247" s="384">
        <v>71</v>
      </c>
      <c r="CR247" s="384">
        <v>71</v>
      </c>
      <c r="CS247" s="384">
        <v>71</v>
      </c>
      <c r="CT247" s="384">
        <v>71</v>
      </c>
      <c r="CU247" s="384">
        <v>75</v>
      </c>
      <c r="CV247" s="384">
        <v>78</v>
      </c>
      <c r="CW247" s="384">
        <v>78</v>
      </c>
      <c r="CX247" s="384">
        <v>81</v>
      </c>
      <c r="CY247" s="384">
        <v>84</v>
      </c>
      <c r="CZ247" s="384">
        <v>86</v>
      </c>
      <c r="DA247" s="384">
        <v>101</v>
      </c>
      <c r="DB247" s="384">
        <v>101</v>
      </c>
      <c r="DI247" s="380">
        <v>24</v>
      </c>
      <c r="DJ247" s="384">
        <v>75</v>
      </c>
      <c r="DK247" s="384">
        <v>75</v>
      </c>
      <c r="DL247" s="384">
        <v>75</v>
      </c>
      <c r="DM247" s="384">
        <v>75</v>
      </c>
      <c r="DN247" s="384">
        <v>75</v>
      </c>
      <c r="DO247" s="384">
        <v>75</v>
      </c>
      <c r="DP247" s="384">
        <v>75</v>
      </c>
      <c r="DQ247" s="384">
        <v>75</v>
      </c>
      <c r="DR247" s="384">
        <v>75</v>
      </c>
      <c r="DS247" s="384">
        <v>75</v>
      </c>
      <c r="DT247" s="384">
        <v>75</v>
      </c>
      <c r="DU247" s="384">
        <v>75</v>
      </c>
      <c r="DV247" s="384">
        <v>75</v>
      </c>
      <c r="DW247" s="384">
        <v>78</v>
      </c>
      <c r="DX247" s="384">
        <v>81</v>
      </c>
      <c r="DY247" s="384">
        <v>84</v>
      </c>
      <c r="DZ247" s="384">
        <v>84</v>
      </c>
      <c r="EA247" s="384">
        <v>86</v>
      </c>
      <c r="EB247" s="384">
        <v>91</v>
      </c>
      <c r="EC247" s="384">
        <v>104</v>
      </c>
      <c r="ED247" s="384">
        <v>104</v>
      </c>
    </row>
    <row r="248" spans="1:134" x14ac:dyDescent="0.15">
      <c r="A248" s="380">
        <v>25</v>
      </c>
      <c r="B248" s="384">
        <v>68</v>
      </c>
      <c r="C248" s="384">
        <v>68</v>
      </c>
      <c r="D248" s="384">
        <v>68</v>
      </c>
      <c r="E248" s="384">
        <v>68</v>
      </c>
      <c r="F248" s="384">
        <v>68</v>
      </c>
      <c r="G248" s="384">
        <v>68</v>
      </c>
      <c r="H248" s="384">
        <v>68</v>
      </c>
      <c r="I248" s="384">
        <v>68</v>
      </c>
      <c r="J248" s="384">
        <v>68</v>
      </c>
      <c r="K248" s="384">
        <v>68</v>
      </c>
      <c r="L248" s="384">
        <v>68</v>
      </c>
      <c r="M248" s="384">
        <v>68</v>
      </c>
      <c r="N248" s="384">
        <v>68</v>
      </c>
      <c r="O248" s="384">
        <v>68</v>
      </c>
      <c r="P248" s="384">
        <v>71</v>
      </c>
      <c r="Q248" s="384">
        <v>71</v>
      </c>
      <c r="R248" s="384">
        <v>75</v>
      </c>
      <c r="S248" s="384">
        <v>78</v>
      </c>
      <c r="T248" s="384">
        <v>81</v>
      </c>
      <c r="U248" s="384">
        <v>95</v>
      </c>
      <c r="V248" s="384">
        <v>95</v>
      </c>
      <c r="AC248" s="380">
        <v>25</v>
      </c>
      <c r="AD248" s="384">
        <v>68</v>
      </c>
      <c r="AE248" s="384">
        <v>68</v>
      </c>
      <c r="AF248" s="384">
        <v>68</v>
      </c>
      <c r="AG248" s="384">
        <v>68</v>
      </c>
      <c r="AH248" s="384">
        <v>68</v>
      </c>
      <c r="AI248" s="384">
        <v>68</v>
      </c>
      <c r="AJ248" s="384">
        <v>68</v>
      </c>
      <c r="AK248" s="384">
        <v>68</v>
      </c>
      <c r="AL248" s="384">
        <v>68</v>
      </c>
      <c r="AM248" s="384">
        <v>68</v>
      </c>
      <c r="AN248" s="384">
        <v>68</v>
      </c>
      <c r="AO248" s="384">
        <v>68</v>
      </c>
      <c r="AP248" s="384">
        <v>68</v>
      </c>
      <c r="AQ248" s="384">
        <v>71</v>
      </c>
      <c r="AR248" s="384">
        <v>71</v>
      </c>
      <c r="AS248" s="384">
        <v>75</v>
      </c>
      <c r="AT248" s="384">
        <v>75</v>
      </c>
      <c r="AU248" s="384">
        <v>78</v>
      </c>
      <c r="AV248" s="384">
        <v>84</v>
      </c>
      <c r="AW248" s="384">
        <v>97</v>
      </c>
      <c r="AX248" s="384">
        <v>97</v>
      </c>
      <c r="BE248" s="380">
        <v>25</v>
      </c>
      <c r="BF248" s="384">
        <v>68</v>
      </c>
      <c r="BG248" s="384">
        <v>68</v>
      </c>
      <c r="BH248" s="384">
        <v>68</v>
      </c>
      <c r="BI248" s="384">
        <v>68</v>
      </c>
      <c r="BJ248" s="384">
        <v>68</v>
      </c>
      <c r="BK248" s="384">
        <v>68</v>
      </c>
      <c r="BL248" s="384">
        <v>68</v>
      </c>
      <c r="BM248" s="384">
        <v>68</v>
      </c>
      <c r="BN248" s="384">
        <v>68</v>
      </c>
      <c r="BO248" s="384">
        <v>68</v>
      </c>
      <c r="BP248" s="384">
        <v>68</v>
      </c>
      <c r="BQ248" s="384">
        <v>68</v>
      </c>
      <c r="BR248" s="384">
        <v>68</v>
      </c>
      <c r="BS248" s="384">
        <v>71</v>
      </c>
      <c r="BT248" s="384">
        <v>75</v>
      </c>
      <c r="BU248" s="384">
        <v>75</v>
      </c>
      <c r="BV248" s="384">
        <v>75</v>
      </c>
      <c r="BW248" s="384">
        <v>81</v>
      </c>
      <c r="BX248" s="384">
        <v>84</v>
      </c>
      <c r="BY248" s="384">
        <v>98</v>
      </c>
      <c r="BZ248" s="384">
        <v>98</v>
      </c>
      <c r="CG248" s="380">
        <v>25</v>
      </c>
      <c r="CH248" s="384">
        <v>71</v>
      </c>
      <c r="CI248" s="384">
        <v>71</v>
      </c>
      <c r="CJ248" s="384">
        <v>71</v>
      </c>
      <c r="CK248" s="384">
        <v>71</v>
      </c>
      <c r="CL248" s="384">
        <v>71</v>
      </c>
      <c r="CM248" s="384">
        <v>71</v>
      </c>
      <c r="CN248" s="384">
        <v>71</v>
      </c>
      <c r="CO248" s="384">
        <v>71</v>
      </c>
      <c r="CP248" s="384">
        <v>71</v>
      </c>
      <c r="CQ248" s="384">
        <v>71</v>
      </c>
      <c r="CR248" s="384">
        <v>71</v>
      </c>
      <c r="CS248" s="384">
        <v>71</v>
      </c>
      <c r="CT248" s="384">
        <v>71</v>
      </c>
      <c r="CU248" s="384">
        <v>75</v>
      </c>
      <c r="CV248" s="384">
        <v>78</v>
      </c>
      <c r="CW248" s="384">
        <v>78</v>
      </c>
      <c r="CX248" s="384">
        <v>81</v>
      </c>
      <c r="CY248" s="384">
        <v>84</v>
      </c>
      <c r="CZ248" s="384">
        <v>86</v>
      </c>
      <c r="DA248" s="384">
        <v>101</v>
      </c>
      <c r="DB248" s="384">
        <v>101</v>
      </c>
      <c r="DI248" s="380">
        <v>25</v>
      </c>
      <c r="DJ248" s="384">
        <v>78</v>
      </c>
      <c r="DK248" s="384">
        <v>78</v>
      </c>
      <c r="DL248" s="384">
        <v>78</v>
      </c>
      <c r="DM248" s="384">
        <v>78</v>
      </c>
      <c r="DN248" s="384">
        <v>78</v>
      </c>
      <c r="DO248" s="384">
        <v>78</v>
      </c>
      <c r="DP248" s="384">
        <v>78</v>
      </c>
      <c r="DQ248" s="384">
        <v>78</v>
      </c>
      <c r="DR248" s="384">
        <v>78</v>
      </c>
      <c r="DS248" s="384">
        <v>78</v>
      </c>
      <c r="DT248" s="384">
        <v>78</v>
      </c>
      <c r="DU248" s="384">
        <v>78</v>
      </c>
      <c r="DV248" s="384">
        <v>78</v>
      </c>
      <c r="DW248" s="384">
        <v>81</v>
      </c>
      <c r="DX248" s="384">
        <v>84</v>
      </c>
      <c r="DY248" s="384">
        <v>86</v>
      </c>
      <c r="DZ248" s="384">
        <v>86</v>
      </c>
      <c r="EA248" s="384">
        <v>88</v>
      </c>
      <c r="EB248" s="384">
        <v>94</v>
      </c>
      <c r="EC248" s="384">
        <v>107</v>
      </c>
      <c r="ED248" s="384">
        <v>107</v>
      </c>
    </row>
    <row r="249" spans="1:134" x14ac:dyDescent="0.15">
      <c r="A249" s="380">
        <v>26</v>
      </c>
      <c r="B249" s="384">
        <v>68</v>
      </c>
      <c r="C249" s="384">
        <v>68</v>
      </c>
      <c r="D249" s="384">
        <v>68</v>
      </c>
      <c r="E249" s="384">
        <v>68</v>
      </c>
      <c r="F249" s="384">
        <v>68</v>
      </c>
      <c r="G249" s="384">
        <v>68</v>
      </c>
      <c r="H249" s="384">
        <v>68</v>
      </c>
      <c r="I249" s="384">
        <v>68</v>
      </c>
      <c r="J249" s="384">
        <v>68</v>
      </c>
      <c r="K249" s="384">
        <v>68</v>
      </c>
      <c r="L249" s="384">
        <v>68</v>
      </c>
      <c r="M249" s="384">
        <v>68</v>
      </c>
      <c r="N249" s="384">
        <v>68</v>
      </c>
      <c r="O249" s="384">
        <v>68</v>
      </c>
      <c r="P249" s="384">
        <v>71</v>
      </c>
      <c r="Q249" s="384">
        <v>71</v>
      </c>
      <c r="R249" s="384">
        <v>75</v>
      </c>
      <c r="S249" s="384">
        <v>78</v>
      </c>
      <c r="T249" s="384">
        <v>81</v>
      </c>
      <c r="U249" s="384">
        <v>95</v>
      </c>
      <c r="V249" s="384">
        <v>95</v>
      </c>
      <c r="AC249" s="380">
        <v>26</v>
      </c>
      <c r="AD249" s="384">
        <v>68</v>
      </c>
      <c r="AE249" s="384">
        <v>68</v>
      </c>
      <c r="AF249" s="384">
        <v>68</v>
      </c>
      <c r="AG249" s="384">
        <v>68</v>
      </c>
      <c r="AH249" s="384">
        <v>68</v>
      </c>
      <c r="AI249" s="384">
        <v>68</v>
      </c>
      <c r="AJ249" s="384">
        <v>68</v>
      </c>
      <c r="AK249" s="384">
        <v>68</v>
      </c>
      <c r="AL249" s="384">
        <v>68</v>
      </c>
      <c r="AM249" s="384">
        <v>68</v>
      </c>
      <c r="AN249" s="384">
        <v>68</v>
      </c>
      <c r="AO249" s="384">
        <v>68</v>
      </c>
      <c r="AP249" s="384">
        <v>68</v>
      </c>
      <c r="AQ249" s="384">
        <v>71</v>
      </c>
      <c r="AR249" s="384">
        <v>71</v>
      </c>
      <c r="AS249" s="384">
        <v>75</v>
      </c>
      <c r="AT249" s="384">
        <v>75</v>
      </c>
      <c r="AU249" s="384">
        <v>78</v>
      </c>
      <c r="AV249" s="384">
        <v>84</v>
      </c>
      <c r="AW249" s="384">
        <v>97</v>
      </c>
      <c r="AX249" s="384">
        <v>97</v>
      </c>
      <c r="BE249" s="380">
        <v>26</v>
      </c>
      <c r="BF249" s="384">
        <v>71</v>
      </c>
      <c r="BG249" s="384">
        <v>71</v>
      </c>
      <c r="BH249" s="384">
        <v>71</v>
      </c>
      <c r="BI249" s="384">
        <v>71</v>
      </c>
      <c r="BJ249" s="384">
        <v>71</v>
      </c>
      <c r="BK249" s="384">
        <v>71</v>
      </c>
      <c r="BL249" s="384">
        <v>71</v>
      </c>
      <c r="BM249" s="384">
        <v>71</v>
      </c>
      <c r="BN249" s="384">
        <v>71</v>
      </c>
      <c r="BO249" s="384">
        <v>71</v>
      </c>
      <c r="BP249" s="384">
        <v>71</v>
      </c>
      <c r="BQ249" s="384">
        <v>71</v>
      </c>
      <c r="BR249" s="384">
        <v>71</v>
      </c>
      <c r="BS249" s="384">
        <v>75</v>
      </c>
      <c r="BT249" s="384">
        <v>78</v>
      </c>
      <c r="BU249" s="384">
        <v>78</v>
      </c>
      <c r="BV249" s="384">
        <v>78</v>
      </c>
      <c r="BW249" s="384">
        <v>84</v>
      </c>
      <c r="BX249" s="384">
        <v>86</v>
      </c>
      <c r="BY249" s="384">
        <v>100</v>
      </c>
      <c r="BZ249" s="384">
        <v>100</v>
      </c>
      <c r="CG249" s="380">
        <v>26</v>
      </c>
      <c r="CH249" s="384">
        <v>75</v>
      </c>
      <c r="CI249" s="384">
        <v>75</v>
      </c>
      <c r="CJ249" s="384">
        <v>75</v>
      </c>
      <c r="CK249" s="384">
        <v>75</v>
      </c>
      <c r="CL249" s="384">
        <v>75</v>
      </c>
      <c r="CM249" s="384">
        <v>75</v>
      </c>
      <c r="CN249" s="384">
        <v>75</v>
      </c>
      <c r="CO249" s="384">
        <v>75</v>
      </c>
      <c r="CP249" s="384">
        <v>75</v>
      </c>
      <c r="CQ249" s="384">
        <v>75</v>
      </c>
      <c r="CR249" s="384">
        <v>75</v>
      </c>
      <c r="CS249" s="384">
        <v>75</v>
      </c>
      <c r="CT249" s="384">
        <v>75</v>
      </c>
      <c r="CU249" s="384">
        <v>78</v>
      </c>
      <c r="CV249" s="384">
        <v>81</v>
      </c>
      <c r="CW249" s="384">
        <v>81</v>
      </c>
      <c r="CX249" s="384">
        <v>84</v>
      </c>
      <c r="CY249" s="384">
        <v>86</v>
      </c>
      <c r="CZ249" s="384">
        <v>88</v>
      </c>
      <c r="DA249" s="384">
        <v>103</v>
      </c>
      <c r="DB249" s="384">
        <v>103</v>
      </c>
      <c r="DI249" s="380">
        <v>26</v>
      </c>
      <c r="DJ249" s="384">
        <v>78</v>
      </c>
      <c r="DK249" s="384">
        <v>78</v>
      </c>
      <c r="DL249" s="384">
        <v>78</v>
      </c>
      <c r="DM249" s="384">
        <v>78</v>
      </c>
      <c r="DN249" s="384">
        <v>78</v>
      </c>
      <c r="DO249" s="384">
        <v>78</v>
      </c>
      <c r="DP249" s="384">
        <v>78</v>
      </c>
      <c r="DQ249" s="384">
        <v>78</v>
      </c>
      <c r="DR249" s="384">
        <v>78</v>
      </c>
      <c r="DS249" s="384">
        <v>78</v>
      </c>
      <c r="DT249" s="384">
        <v>78</v>
      </c>
      <c r="DU249" s="384">
        <v>78</v>
      </c>
      <c r="DV249" s="384">
        <v>78</v>
      </c>
      <c r="DW249" s="384">
        <v>81</v>
      </c>
      <c r="DX249" s="384">
        <v>84</v>
      </c>
      <c r="DY249" s="384">
        <v>86</v>
      </c>
      <c r="DZ249" s="384">
        <v>86</v>
      </c>
      <c r="EA249" s="384">
        <v>88</v>
      </c>
      <c r="EB249" s="384">
        <v>94</v>
      </c>
      <c r="EC249" s="384">
        <v>107</v>
      </c>
      <c r="ED249" s="384">
        <v>107</v>
      </c>
    </row>
    <row r="250" spans="1:134" x14ac:dyDescent="0.15">
      <c r="A250" s="380">
        <v>27</v>
      </c>
      <c r="B250" s="384">
        <v>71</v>
      </c>
      <c r="C250" s="384">
        <v>71</v>
      </c>
      <c r="D250" s="384">
        <v>71</v>
      </c>
      <c r="E250" s="384">
        <v>71</v>
      </c>
      <c r="F250" s="384">
        <v>71</v>
      </c>
      <c r="G250" s="384">
        <v>71</v>
      </c>
      <c r="H250" s="384">
        <v>71</v>
      </c>
      <c r="I250" s="384">
        <v>71</v>
      </c>
      <c r="J250" s="384">
        <v>71</v>
      </c>
      <c r="K250" s="384">
        <v>71</v>
      </c>
      <c r="L250" s="384">
        <v>71</v>
      </c>
      <c r="M250" s="384">
        <v>71</v>
      </c>
      <c r="N250" s="384">
        <v>71</v>
      </c>
      <c r="O250" s="384">
        <v>71</v>
      </c>
      <c r="P250" s="384">
        <v>75</v>
      </c>
      <c r="Q250" s="384">
        <v>75</v>
      </c>
      <c r="R250" s="384">
        <v>78</v>
      </c>
      <c r="S250" s="384">
        <v>81</v>
      </c>
      <c r="T250" s="384">
        <v>84</v>
      </c>
      <c r="U250" s="384">
        <v>98</v>
      </c>
      <c r="V250" s="384">
        <v>98</v>
      </c>
      <c r="AC250" s="380">
        <v>27</v>
      </c>
      <c r="AD250" s="384">
        <v>71</v>
      </c>
      <c r="AE250" s="384">
        <v>71</v>
      </c>
      <c r="AF250" s="384">
        <v>71</v>
      </c>
      <c r="AG250" s="384">
        <v>71</v>
      </c>
      <c r="AH250" s="384">
        <v>71</v>
      </c>
      <c r="AI250" s="384">
        <v>71</v>
      </c>
      <c r="AJ250" s="384">
        <v>71</v>
      </c>
      <c r="AK250" s="384">
        <v>71</v>
      </c>
      <c r="AL250" s="384">
        <v>71</v>
      </c>
      <c r="AM250" s="384">
        <v>71</v>
      </c>
      <c r="AN250" s="384">
        <v>71</v>
      </c>
      <c r="AO250" s="384">
        <v>71</v>
      </c>
      <c r="AP250" s="384">
        <v>71</v>
      </c>
      <c r="AQ250" s="384">
        <v>75</v>
      </c>
      <c r="AR250" s="384">
        <v>75</v>
      </c>
      <c r="AS250" s="384">
        <v>78</v>
      </c>
      <c r="AT250" s="384">
        <v>78</v>
      </c>
      <c r="AU250" s="384">
        <v>81</v>
      </c>
      <c r="AV250" s="384">
        <v>86</v>
      </c>
      <c r="AW250" s="384">
        <v>99</v>
      </c>
      <c r="AX250" s="384">
        <v>99</v>
      </c>
      <c r="BE250" s="380">
        <v>27</v>
      </c>
      <c r="BF250" s="384">
        <v>71</v>
      </c>
      <c r="BG250" s="384">
        <v>71</v>
      </c>
      <c r="BH250" s="384">
        <v>71</v>
      </c>
      <c r="BI250" s="384">
        <v>71</v>
      </c>
      <c r="BJ250" s="384">
        <v>71</v>
      </c>
      <c r="BK250" s="384">
        <v>71</v>
      </c>
      <c r="BL250" s="384">
        <v>71</v>
      </c>
      <c r="BM250" s="384">
        <v>71</v>
      </c>
      <c r="BN250" s="384">
        <v>71</v>
      </c>
      <c r="BO250" s="384">
        <v>71</v>
      </c>
      <c r="BP250" s="384">
        <v>71</v>
      </c>
      <c r="BQ250" s="384">
        <v>71</v>
      </c>
      <c r="BR250" s="384">
        <v>71</v>
      </c>
      <c r="BS250" s="384">
        <v>75</v>
      </c>
      <c r="BT250" s="384">
        <v>78</v>
      </c>
      <c r="BU250" s="384">
        <v>78</v>
      </c>
      <c r="BV250" s="384">
        <v>78</v>
      </c>
      <c r="BW250" s="384">
        <v>84</v>
      </c>
      <c r="BX250" s="384">
        <v>86</v>
      </c>
      <c r="BY250" s="384">
        <v>100</v>
      </c>
      <c r="BZ250" s="384">
        <v>100</v>
      </c>
      <c r="CG250" s="380">
        <v>27</v>
      </c>
      <c r="CH250" s="384">
        <v>75</v>
      </c>
      <c r="CI250" s="384">
        <v>75</v>
      </c>
      <c r="CJ250" s="384">
        <v>75</v>
      </c>
      <c r="CK250" s="384">
        <v>75</v>
      </c>
      <c r="CL250" s="384">
        <v>75</v>
      </c>
      <c r="CM250" s="384">
        <v>75</v>
      </c>
      <c r="CN250" s="384">
        <v>75</v>
      </c>
      <c r="CO250" s="384">
        <v>75</v>
      </c>
      <c r="CP250" s="384">
        <v>75</v>
      </c>
      <c r="CQ250" s="384">
        <v>75</v>
      </c>
      <c r="CR250" s="384">
        <v>75</v>
      </c>
      <c r="CS250" s="384">
        <v>75</v>
      </c>
      <c r="CT250" s="384">
        <v>75</v>
      </c>
      <c r="CU250" s="384">
        <v>78</v>
      </c>
      <c r="CV250" s="384">
        <v>81</v>
      </c>
      <c r="CW250" s="384">
        <v>81</v>
      </c>
      <c r="CX250" s="384">
        <v>84</v>
      </c>
      <c r="CY250" s="384">
        <v>86</v>
      </c>
      <c r="CZ250" s="384">
        <v>88</v>
      </c>
      <c r="DA250" s="384">
        <v>103</v>
      </c>
      <c r="DB250" s="384">
        <v>103</v>
      </c>
      <c r="DI250" s="380">
        <v>27</v>
      </c>
      <c r="DJ250" s="384">
        <v>78</v>
      </c>
      <c r="DK250" s="384">
        <v>78</v>
      </c>
      <c r="DL250" s="384">
        <v>78</v>
      </c>
      <c r="DM250" s="384">
        <v>78</v>
      </c>
      <c r="DN250" s="384">
        <v>78</v>
      </c>
      <c r="DO250" s="384">
        <v>78</v>
      </c>
      <c r="DP250" s="384">
        <v>78</v>
      </c>
      <c r="DQ250" s="384">
        <v>78</v>
      </c>
      <c r="DR250" s="384">
        <v>78</v>
      </c>
      <c r="DS250" s="384">
        <v>78</v>
      </c>
      <c r="DT250" s="384">
        <v>78</v>
      </c>
      <c r="DU250" s="384">
        <v>78</v>
      </c>
      <c r="DV250" s="384">
        <v>78</v>
      </c>
      <c r="DW250" s="384">
        <v>81</v>
      </c>
      <c r="DX250" s="384">
        <v>84</v>
      </c>
      <c r="DY250" s="384">
        <v>86</v>
      </c>
      <c r="DZ250" s="384">
        <v>86</v>
      </c>
      <c r="EA250" s="384">
        <v>88</v>
      </c>
      <c r="EB250" s="384">
        <v>94</v>
      </c>
      <c r="EC250" s="384">
        <v>107</v>
      </c>
      <c r="ED250" s="384">
        <v>107</v>
      </c>
    </row>
    <row r="251" spans="1:134" x14ac:dyDescent="0.15">
      <c r="A251" s="380">
        <v>28</v>
      </c>
      <c r="B251" s="384">
        <v>71</v>
      </c>
      <c r="C251" s="384">
        <v>71</v>
      </c>
      <c r="D251" s="384">
        <v>71</v>
      </c>
      <c r="E251" s="384">
        <v>71</v>
      </c>
      <c r="F251" s="384">
        <v>71</v>
      </c>
      <c r="G251" s="384">
        <v>71</v>
      </c>
      <c r="H251" s="384">
        <v>71</v>
      </c>
      <c r="I251" s="384">
        <v>71</v>
      </c>
      <c r="J251" s="384">
        <v>71</v>
      </c>
      <c r="K251" s="384">
        <v>71</v>
      </c>
      <c r="L251" s="384">
        <v>71</v>
      </c>
      <c r="M251" s="384">
        <v>71</v>
      </c>
      <c r="N251" s="384">
        <v>71</v>
      </c>
      <c r="O251" s="384">
        <v>71</v>
      </c>
      <c r="P251" s="384">
        <v>75</v>
      </c>
      <c r="Q251" s="384">
        <v>75</v>
      </c>
      <c r="R251" s="384">
        <v>78</v>
      </c>
      <c r="S251" s="384">
        <v>81</v>
      </c>
      <c r="T251" s="384">
        <v>84</v>
      </c>
      <c r="U251" s="384">
        <v>98</v>
      </c>
      <c r="V251" s="384">
        <v>98</v>
      </c>
      <c r="AC251" s="380">
        <v>28</v>
      </c>
      <c r="AD251" s="384">
        <v>71</v>
      </c>
      <c r="AE251" s="384">
        <v>71</v>
      </c>
      <c r="AF251" s="384">
        <v>71</v>
      </c>
      <c r="AG251" s="384">
        <v>71</v>
      </c>
      <c r="AH251" s="384">
        <v>71</v>
      </c>
      <c r="AI251" s="384">
        <v>71</v>
      </c>
      <c r="AJ251" s="384">
        <v>71</v>
      </c>
      <c r="AK251" s="384">
        <v>71</v>
      </c>
      <c r="AL251" s="384">
        <v>71</v>
      </c>
      <c r="AM251" s="384">
        <v>71</v>
      </c>
      <c r="AN251" s="384">
        <v>71</v>
      </c>
      <c r="AO251" s="384">
        <v>71</v>
      </c>
      <c r="AP251" s="384">
        <v>71</v>
      </c>
      <c r="AQ251" s="384">
        <v>75</v>
      </c>
      <c r="AR251" s="384">
        <v>75</v>
      </c>
      <c r="AS251" s="384">
        <v>78</v>
      </c>
      <c r="AT251" s="384">
        <v>78</v>
      </c>
      <c r="AU251" s="384">
        <v>81</v>
      </c>
      <c r="AV251" s="384">
        <v>86</v>
      </c>
      <c r="AW251" s="384">
        <v>99</v>
      </c>
      <c r="AX251" s="384">
        <v>99</v>
      </c>
      <c r="BE251" s="380">
        <v>28</v>
      </c>
      <c r="BF251" s="384">
        <v>75</v>
      </c>
      <c r="BG251" s="384">
        <v>75</v>
      </c>
      <c r="BH251" s="384">
        <v>75</v>
      </c>
      <c r="BI251" s="384">
        <v>75</v>
      </c>
      <c r="BJ251" s="384">
        <v>75</v>
      </c>
      <c r="BK251" s="384">
        <v>75</v>
      </c>
      <c r="BL251" s="384">
        <v>75</v>
      </c>
      <c r="BM251" s="384">
        <v>75</v>
      </c>
      <c r="BN251" s="384">
        <v>75</v>
      </c>
      <c r="BO251" s="384">
        <v>75</v>
      </c>
      <c r="BP251" s="384">
        <v>75</v>
      </c>
      <c r="BQ251" s="384">
        <v>75</v>
      </c>
      <c r="BR251" s="384">
        <v>75</v>
      </c>
      <c r="BS251" s="384">
        <v>78</v>
      </c>
      <c r="BT251" s="384">
        <v>81</v>
      </c>
      <c r="BU251" s="384">
        <v>81</v>
      </c>
      <c r="BV251" s="384">
        <v>81</v>
      </c>
      <c r="BW251" s="384">
        <v>86</v>
      </c>
      <c r="BX251" s="384">
        <v>88</v>
      </c>
      <c r="BY251" s="384">
        <v>102</v>
      </c>
      <c r="BZ251" s="384">
        <v>102</v>
      </c>
      <c r="CG251" s="380">
        <v>28</v>
      </c>
      <c r="CH251" s="384">
        <v>78</v>
      </c>
      <c r="CI251" s="384">
        <v>78</v>
      </c>
      <c r="CJ251" s="384">
        <v>78</v>
      </c>
      <c r="CK251" s="384">
        <v>78</v>
      </c>
      <c r="CL251" s="384">
        <v>78</v>
      </c>
      <c r="CM251" s="384">
        <v>78</v>
      </c>
      <c r="CN251" s="384">
        <v>78</v>
      </c>
      <c r="CO251" s="384">
        <v>78</v>
      </c>
      <c r="CP251" s="384">
        <v>78</v>
      </c>
      <c r="CQ251" s="384">
        <v>78</v>
      </c>
      <c r="CR251" s="384">
        <v>78</v>
      </c>
      <c r="CS251" s="384">
        <v>78</v>
      </c>
      <c r="CT251" s="384">
        <v>78</v>
      </c>
      <c r="CU251" s="384">
        <v>81</v>
      </c>
      <c r="CV251" s="384">
        <v>84</v>
      </c>
      <c r="CW251" s="384">
        <v>84</v>
      </c>
      <c r="CX251" s="384">
        <v>86</v>
      </c>
      <c r="CY251" s="384">
        <v>88</v>
      </c>
      <c r="CZ251" s="384">
        <v>91</v>
      </c>
      <c r="DA251" s="384">
        <v>107</v>
      </c>
      <c r="DB251" s="384">
        <v>107</v>
      </c>
      <c r="DI251" s="380">
        <v>28</v>
      </c>
      <c r="DJ251" s="384">
        <v>81</v>
      </c>
      <c r="DK251" s="384">
        <v>81</v>
      </c>
      <c r="DL251" s="384">
        <v>81</v>
      </c>
      <c r="DM251" s="384">
        <v>81</v>
      </c>
      <c r="DN251" s="384">
        <v>81</v>
      </c>
      <c r="DO251" s="384">
        <v>81</v>
      </c>
      <c r="DP251" s="384">
        <v>81</v>
      </c>
      <c r="DQ251" s="384">
        <v>81</v>
      </c>
      <c r="DR251" s="384">
        <v>81</v>
      </c>
      <c r="DS251" s="384">
        <v>81</v>
      </c>
      <c r="DT251" s="384">
        <v>81</v>
      </c>
      <c r="DU251" s="384">
        <v>81</v>
      </c>
      <c r="DV251" s="384">
        <v>81</v>
      </c>
      <c r="DW251" s="384">
        <v>84</v>
      </c>
      <c r="DX251" s="384">
        <v>86</v>
      </c>
      <c r="DY251" s="384">
        <v>88</v>
      </c>
      <c r="DZ251" s="384">
        <v>88</v>
      </c>
      <c r="EA251" s="384">
        <v>91</v>
      </c>
      <c r="EB251" s="384">
        <v>97</v>
      </c>
      <c r="EC251" s="384">
        <v>110</v>
      </c>
      <c r="ED251" s="384">
        <v>110</v>
      </c>
    </row>
    <row r="252" spans="1:134" x14ac:dyDescent="0.15">
      <c r="A252" s="380">
        <v>29</v>
      </c>
      <c r="B252" s="384">
        <v>75</v>
      </c>
      <c r="C252" s="384">
        <v>75</v>
      </c>
      <c r="D252" s="384">
        <v>75</v>
      </c>
      <c r="E252" s="384">
        <v>75</v>
      </c>
      <c r="F252" s="384">
        <v>75</v>
      </c>
      <c r="G252" s="384">
        <v>75</v>
      </c>
      <c r="H252" s="384">
        <v>75</v>
      </c>
      <c r="I252" s="384">
        <v>75</v>
      </c>
      <c r="J252" s="384">
        <v>75</v>
      </c>
      <c r="K252" s="384">
        <v>75</v>
      </c>
      <c r="L252" s="384">
        <v>75</v>
      </c>
      <c r="M252" s="384">
        <v>75</v>
      </c>
      <c r="N252" s="384">
        <v>75</v>
      </c>
      <c r="O252" s="384">
        <v>75</v>
      </c>
      <c r="P252" s="384">
        <v>78</v>
      </c>
      <c r="Q252" s="384">
        <v>78</v>
      </c>
      <c r="R252" s="384">
        <v>81</v>
      </c>
      <c r="S252" s="384">
        <v>84</v>
      </c>
      <c r="T252" s="384">
        <v>86</v>
      </c>
      <c r="U252" s="384">
        <v>100</v>
      </c>
      <c r="V252" s="384">
        <v>100</v>
      </c>
      <c r="AC252" s="380">
        <v>29</v>
      </c>
      <c r="AD252" s="384">
        <v>75</v>
      </c>
      <c r="AE252" s="384">
        <v>75</v>
      </c>
      <c r="AF252" s="384">
        <v>75</v>
      </c>
      <c r="AG252" s="384">
        <v>75</v>
      </c>
      <c r="AH252" s="384">
        <v>75</v>
      </c>
      <c r="AI252" s="384">
        <v>75</v>
      </c>
      <c r="AJ252" s="384">
        <v>75</v>
      </c>
      <c r="AK252" s="384">
        <v>75</v>
      </c>
      <c r="AL252" s="384">
        <v>75</v>
      </c>
      <c r="AM252" s="384">
        <v>75</v>
      </c>
      <c r="AN252" s="384">
        <v>75</v>
      </c>
      <c r="AO252" s="384">
        <v>75</v>
      </c>
      <c r="AP252" s="384">
        <v>75</v>
      </c>
      <c r="AQ252" s="384">
        <v>78</v>
      </c>
      <c r="AR252" s="384">
        <v>78</v>
      </c>
      <c r="AS252" s="384">
        <v>81</v>
      </c>
      <c r="AT252" s="384">
        <v>81</v>
      </c>
      <c r="AU252" s="384">
        <v>84</v>
      </c>
      <c r="AV252" s="384">
        <v>88</v>
      </c>
      <c r="AW252" s="384">
        <v>101</v>
      </c>
      <c r="AX252" s="384">
        <v>101</v>
      </c>
      <c r="BE252" s="380">
        <v>29</v>
      </c>
      <c r="BF252" s="384">
        <v>75</v>
      </c>
      <c r="BG252" s="384">
        <v>75</v>
      </c>
      <c r="BH252" s="384">
        <v>75</v>
      </c>
      <c r="BI252" s="384">
        <v>75</v>
      </c>
      <c r="BJ252" s="384">
        <v>75</v>
      </c>
      <c r="BK252" s="384">
        <v>75</v>
      </c>
      <c r="BL252" s="384">
        <v>75</v>
      </c>
      <c r="BM252" s="384">
        <v>75</v>
      </c>
      <c r="BN252" s="384">
        <v>75</v>
      </c>
      <c r="BO252" s="384">
        <v>75</v>
      </c>
      <c r="BP252" s="384">
        <v>75</v>
      </c>
      <c r="BQ252" s="384">
        <v>75</v>
      </c>
      <c r="BR252" s="384">
        <v>75</v>
      </c>
      <c r="BS252" s="384">
        <v>78</v>
      </c>
      <c r="BT252" s="384">
        <v>81</v>
      </c>
      <c r="BU252" s="384">
        <v>81</v>
      </c>
      <c r="BV252" s="384">
        <v>81</v>
      </c>
      <c r="BW252" s="384">
        <v>86</v>
      </c>
      <c r="BX252" s="384">
        <v>88</v>
      </c>
      <c r="BY252" s="384">
        <v>102</v>
      </c>
      <c r="BZ252" s="384">
        <v>102</v>
      </c>
      <c r="CG252" s="380">
        <v>29</v>
      </c>
      <c r="CH252" s="384">
        <v>78</v>
      </c>
      <c r="CI252" s="384">
        <v>78</v>
      </c>
      <c r="CJ252" s="384">
        <v>78</v>
      </c>
      <c r="CK252" s="384">
        <v>78</v>
      </c>
      <c r="CL252" s="384">
        <v>78</v>
      </c>
      <c r="CM252" s="384">
        <v>78</v>
      </c>
      <c r="CN252" s="384">
        <v>78</v>
      </c>
      <c r="CO252" s="384">
        <v>78</v>
      </c>
      <c r="CP252" s="384">
        <v>78</v>
      </c>
      <c r="CQ252" s="384">
        <v>78</v>
      </c>
      <c r="CR252" s="384">
        <v>78</v>
      </c>
      <c r="CS252" s="384">
        <v>78</v>
      </c>
      <c r="CT252" s="384">
        <v>78</v>
      </c>
      <c r="CU252" s="384">
        <v>81</v>
      </c>
      <c r="CV252" s="384">
        <v>84</v>
      </c>
      <c r="CW252" s="384">
        <v>84</v>
      </c>
      <c r="CX252" s="384">
        <v>86</v>
      </c>
      <c r="CY252" s="384">
        <v>88</v>
      </c>
      <c r="CZ252" s="384">
        <v>91</v>
      </c>
      <c r="DA252" s="384">
        <v>107</v>
      </c>
      <c r="DB252" s="384">
        <v>107</v>
      </c>
      <c r="DI252" s="380">
        <v>29</v>
      </c>
      <c r="DJ252" s="384">
        <v>81</v>
      </c>
      <c r="DK252" s="384">
        <v>81</v>
      </c>
      <c r="DL252" s="384">
        <v>81</v>
      </c>
      <c r="DM252" s="384">
        <v>81</v>
      </c>
      <c r="DN252" s="384">
        <v>81</v>
      </c>
      <c r="DO252" s="384">
        <v>81</v>
      </c>
      <c r="DP252" s="384">
        <v>81</v>
      </c>
      <c r="DQ252" s="384">
        <v>81</v>
      </c>
      <c r="DR252" s="384">
        <v>81</v>
      </c>
      <c r="DS252" s="384">
        <v>81</v>
      </c>
      <c r="DT252" s="384">
        <v>81</v>
      </c>
      <c r="DU252" s="384">
        <v>81</v>
      </c>
      <c r="DV252" s="384">
        <v>81</v>
      </c>
      <c r="DW252" s="384">
        <v>84</v>
      </c>
      <c r="DX252" s="384">
        <v>86</v>
      </c>
      <c r="DY252" s="384">
        <v>88</v>
      </c>
      <c r="DZ252" s="384">
        <v>88</v>
      </c>
      <c r="EA252" s="384">
        <v>91</v>
      </c>
      <c r="EB252" s="384">
        <v>97</v>
      </c>
      <c r="EC252" s="384">
        <v>110</v>
      </c>
      <c r="ED252" s="384">
        <v>110</v>
      </c>
    </row>
    <row r="253" spans="1:134" x14ac:dyDescent="0.15">
      <c r="A253" s="380">
        <v>30</v>
      </c>
      <c r="B253" s="384">
        <v>75</v>
      </c>
      <c r="C253" s="384">
        <v>75</v>
      </c>
      <c r="D253" s="384">
        <v>75</v>
      </c>
      <c r="E253" s="384">
        <v>75</v>
      </c>
      <c r="F253" s="384">
        <v>75</v>
      </c>
      <c r="G253" s="384">
        <v>75</v>
      </c>
      <c r="H253" s="384">
        <v>75</v>
      </c>
      <c r="I253" s="384">
        <v>75</v>
      </c>
      <c r="J253" s="384">
        <v>75</v>
      </c>
      <c r="K253" s="384">
        <v>75</v>
      </c>
      <c r="L253" s="384">
        <v>75</v>
      </c>
      <c r="M253" s="384">
        <v>75</v>
      </c>
      <c r="N253" s="384">
        <v>75</v>
      </c>
      <c r="O253" s="384">
        <v>75</v>
      </c>
      <c r="P253" s="384">
        <v>78</v>
      </c>
      <c r="Q253" s="384">
        <v>78</v>
      </c>
      <c r="R253" s="384">
        <v>81</v>
      </c>
      <c r="S253" s="384">
        <v>84</v>
      </c>
      <c r="T253" s="384">
        <v>86</v>
      </c>
      <c r="U253" s="384">
        <v>100</v>
      </c>
      <c r="V253" s="384">
        <v>100</v>
      </c>
      <c r="AC253" s="380">
        <v>30</v>
      </c>
      <c r="AD253" s="384">
        <v>75</v>
      </c>
      <c r="AE253" s="384">
        <v>75</v>
      </c>
      <c r="AF253" s="384">
        <v>75</v>
      </c>
      <c r="AG253" s="384">
        <v>75</v>
      </c>
      <c r="AH253" s="384">
        <v>75</v>
      </c>
      <c r="AI253" s="384">
        <v>75</v>
      </c>
      <c r="AJ253" s="384">
        <v>75</v>
      </c>
      <c r="AK253" s="384">
        <v>75</v>
      </c>
      <c r="AL253" s="384">
        <v>75</v>
      </c>
      <c r="AM253" s="384">
        <v>75</v>
      </c>
      <c r="AN253" s="384">
        <v>75</v>
      </c>
      <c r="AO253" s="384">
        <v>75</v>
      </c>
      <c r="AP253" s="384">
        <v>75</v>
      </c>
      <c r="AQ253" s="384">
        <v>78</v>
      </c>
      <c r="AR253" s="384">
        <v>78</v>
      </c>
      <c r="AS253" s="384">
        <v>81</v>
      </c>
      <c r="AT253" s="384">
        <v>81</v>
      </c>
      <c r="AU253" s="384">
        <v>84</v>
      </c>
      <c r="AV253" s="384">
        <v>88</v>
      </c>
      <c r="AW253" s="384">
        <v>101</v>
      </c>
      <c r="AX253" s="384">
        <v>101</v>
      </c>
      <c r="BE253" s="380">
        <v>30</v>
      </c>
      <c r="BF253" s="384">
        <v>75</v>
      </c>
      <c r="BG253" s="384">
        <v>75</v>
      </c>
      <c r="BH253" s="384">
        <v>75</v>
      </c>
      <c r="BI253" s="384">
        <v>75</v>
      </c>
      <c r="BJ253" s="384">
        <v>75</v>
      </c>
      <c r="BK253" s="384">
        <v>75</v>
      </c>
      <c r="BL253" s="384">
        <v>75</v>
      </c>
      <c r="BM253" s="384">
        <v>75</v>
      </c>
      <c r="BN253" s="384">
        <v>75</v>
      </c>
      <c r="BO253" s="384">
        <v>75</v>
      </c>
      <c r="BP253" s="384">
        <v>75</v>
      </c>
      <c r="BQ253" s="384">
        <v>75</v>
      </c>
      <c r="BR253" s="384">
        <v>75</v>
      </c>
      <c r="BS253" s="384">
        <v>78</v>
      </c>
      <c r="BT253" s="384">
        <v>81</v>
      </c>
      <c r="BU253" s="384">
        <v>81</v>
      </c>
      <c r="BV253" s="384">
        <v>81</v>
      </c>
      <c r="BW253" s="384">
        <v>86</v>
      </c>
      <c r="BX253" s="384">
        <v>88</v>
      </c>
      <c r="BY253" s="384">
        <v>102</v>
      </c>
      <c r="BZ253" s="384">
        <v>102</v>
      </c>
      <c r="CG253" s="380">
        <v>30</v>
      </c>
      <c r="CH253" s="384">
        <v>81</v>
      </c>
      <c r="CI253" s="384">
        <v>81</v>
      </c>
      <c r="CJ253" s="384">
        <v>81</v>
      </c>
      <c r="CK253" s="384">
        <v>81</v>
      </c>
      <c r="CL253" s="384">
        <v>81</v>
      </c>
      <c r="CM253" s="384">
        <v>81</v>
      </c>
      <c r="CN253" s="384">
        <v>81</v>
      </c>
      <c r="CO253" s="384">
        <v>81</v>
      </c>
      <c r="CP253" s="384">
        <v>81</v>
      </c>
      <c r="CQ253" s="384">
        <v>81</v>
      </c>
      <c r="CR253" s="384">
        <v>81</v>
      </c>
      <c r="CS253" s="384">
        <v>81</v>
      </c>
      <c r="CT253" s="384">
        <v>81</v>
      </c>
      <c r="CU253" s="384">
        <v>84</v>
      </c>
      <c r="CV253" s="384">
        <v>86</v>
      </c>
      <c r="CW253" s="384">
        <v>86</v>
      </c>
      <c r="CX253" s="384">
        <v>88</v>
      </c>
      <c r="CY253" s="384">
        <v>91</v>
      </c>
      <c r="CZ253" s="384">
        <v>94</v>
      </c>
      <c r="DA253" s="384">
        <v>110</v>
      </c>
      <c r="DB253" s="384">
        <v>110</v>
      </c>
      <c r="DI253" s="380">
        <v>30</v>
      </c>
      <c r="DJ253" s="384">
        <v>84</v>
      </c>
      <c r="DK253" s="384">
        <v>84</v>
      </c>
      <c r="DL253" s="384">
        <v>84</v>
      </c>
      <c r="DM253" s="384">
        <v>84</v>
      </c>
      <c r="DN253" s="384">
        <v>84</v>
      </c>
      <c r="DO253" s="384">
        <v>84</v>
      </c>
      <c r="DP253" s="384">
        <v>84</v>
      </c>
      <c r="DQ253" s="384">
        <v>84</v>
      </c>
      <c r="DR253" s="384">
        <v>84</v>
      </c>
      <c r="DS253" s="384">
        <v>84</v>
      </c>
      <c r="DT253" s="384">
        <v>84</v>
      </c>
      <c r="DU253" s="384">
        <v>84</v>
      </c>
      <c r="DV253" s="384">
        <v>84</v>
      </c>
      <c r="DW253" s="384">
        <v>86</v>
      </c>
      <c r="DX253" s="384">
        <v>88</v>
      </c>
      <c r="DY253" s="384">
        <v>91</v>
      </c>
      <c r="DZ253" s="384">
        <v>91</v>
      </c>
      <c r="EA253" s="384">
        <v>94</v>
      </c>
      <c r="EB253" s="384">
        <v>100</v>
      </c>
      <c r="EC253" s="384">
        <v>114</v>
      </c>
      <c r="ED253" s="384">
        <v>114</v>
      </c>
    </row>
    <row r="254" spans="1:134" x14ac:dyDescent="0.15">
      <c r="A254" s="380">
        <v>31</v>
      </c>
      <c r="B254" s="384">
        <v>78</v>
      </c>
      <c r="C254" s="384">
        <v>78</v>
      </c>
      <c r="D254" s="384">
        <v>78</v>
      </c>
      <c r="E254" s="384">
        <v>78</v>
      </c>
      <c r="F254" s="384">
        <v>78</v>
      </c>
      <c r="G254" s="384">
        <v>78</v>
      </c>
      <c r="H254" s="384">
        <v>78</v>
      </c>
      <c r="I254" s="384">
        <v>78</v>
      </c>
      <c r="J254" s="384">
        <v>78</v>
      </c>
      <c r="K254" s="384">
        <v>78</v>
      </c>
      <c r="L254" s="384">
        <v>78</v>
      </c>
      <c r="M254" s="384">
        <v>78</v>
      </c>
      <c r="N254" s="384">
        <v>78</v>
      </c>
      <c r="O254" s="384">
        <v>78</v>
      </c>
      <c r="P254" s="384">
        <v>81</v>
      </c>
      <c r="Q254" s="384">
        <v>81</v>
      </c>
      <c r="R254" s="384">
        <v>84</v>
      </c>
      <c r="S254" s="384">
        <v>86</v>
      </c>
      <c r="T254" s="384">
        <v>88</v>
      </c>
      <c r="U254" s="384">
        <v>103</v>
      </c>
      <c r="V254" s="384">
        <v>103</v>
      </c>
      <c r="AC254" s="380">
        <v>31</v>
      </c>
      <c r="AD254" s="384">
        <v>78</v>
      </c>
      <c r="AE254" s="384">
        <v>78</v>
      </c>
      <c r="AF254" s="384">
        <v>78</v>
      </c>
      <c r="AG254" s="384">
        <v>78</v>
      </c>
      <c r="AH254" s="384">
        <v>78</v>
      </c>
      <c r="AI254" s="384">
        <v>78</v>
      </c>
      <c r="AJ254" s="384">
        <v>78</v>
      </c>
      <c r="AK254" s="384">
        <v>78</v>
      </c>
      <c r="AL254" s="384">
        <v>78</v>
      </c>
      <c r="AM254" s="384">
        <v>78</v>
      </c>
      <c r="AN254" s="384">
        <v>78</v>
      </c>
      <c r="AO254" s="384">
        <v>78</v>
      </c>
      <c r="AP254" s="384">
        <v>78</v>
      </c>
      <c r="AQ254" s="384">
        <v>81</v>
      </c>
      <c r="AR254" s="384">
        <v>81</v>
      </c>
      <c r="AS254" s="384">
        <v>84</v>
      </c>
      <c r="AT254" s="384">
        <v>84</v>
      </c>
      <c r="AU254" s="384">
        <v>86</v>
      </c>
      <c r="AV254" s="384">
        <v>91</v>
      </c>
      <c r="AW254" s="384">
        <v>105</v>
      </c>
      <c r="AX254" s="384">
        <v>105</v>
      </c>
      <c r="BE254" s="380">
        <v>31</v>
      </c>
      <c r="BF254" s="384">
        <v>78</v>
      </c>
      <c r="BG254" s="384">
        <v>78</v>
      </c>
      <c r="BH254" s="384">
        <v>78</v>
      </c>
      <c r="BI254" s="384">
        <v>78</v>
      </c>
      <c r="BJ254" s="384">
        <v>78</v>
      </c>
      <c r="BK254" s="384">
        <v>78</v>
      </c>
      <c r="BL254" s="384">
        <v>78</v>
      </c>
      <c r="BM254" s="384">
        <v>78</v>
      </c>
      <c r="BN254" s="384">
        <v>78</v>
      </c>
      <c r="BO254" s="384">
        <v>78</v>
      </c>
      <c r="BP254" s="384">
        <v>78</v>
      </c>
      <c r="BQ254" s="384">
        <v>78</v>
      </c>
      <c r="BR254" s="384">
        <v>78</v>
      </c>
      <c r="BS254" s="384">
        <v>81</v>
      </c>
      <c r="BT254" s="384">
        <v>84</v>
      </c>
      <c r="BU254" s="384">
        <v>84</v>
      </c>
      <c r="BV254" s="384">
        <v>84</v>
      </c>
      <c r="BW254" s="384">
        <v>88</v>
      </c>
      <c r="BX254" s="384">
        <v>91</v>
      </c>
      <c r="BY254" s="384">
        <v>106</v>
      </c>
      <c r="BZ254" s="384">
        <v>106</v>
      </c>
      <c r="CG254" s="380">
        <v>31</v>
      </c>
      <c r="CH254" s="384">
        <v>81</v>
      </c>
      <c r="CI254" s="384">
        <v>81</v>
      </c>
      <c r="CJ254" s="384">
        <v>81</v>
      </c>
      <c r="CK254" s="384">
        <v>81</v>
      </c>
      <c r="CL254" s="384">
        <v>81</v>
      </c>
      <c r="CM254" s="384">
        <v>81</v>
      </c>
      <c r="CN254" s="384">
        <v>81</v>
      </c>
      <c r="CO254" s="384">
        <v>81</v>
      </c>
      <c r="CP254" s="384">
        <v>81</v>
      </c>
      <c r="CQ254" s="384">
        <v>81</v>
      </c>
      <c r="CR254" s="384">
        <v>81</v>
      </c>
      <c r="CS254" s="384">
        <v>81</v>
      </c>
      <c r="CT254" s="384">
        <v>81</v>
      </c>
      <c r="CU254" s="384">
        <v>84</v>
      </c>
      <c r="CV254" s="384">
        <v>86</v>
      </c>
      <c r="CW254" s="384">
        <v>86</v>
      </c>
      <c r="CX254" s="384">
        <v>88</v>
      </c>
      <c r="CY254" s="384">
        <v>91</v>
      </c>
      <c r="CZ254" s="384">
        <v>94</v>
      </c>
      <c r="DA254" s="384">
        <v>110</v>
      </c>
      <c r="DB254" s="384">
        <v>110</v>
      </c>
      <c r="DI254" s="380">
        <v>31</v>
      </c>
      <c r="DJ254" s="384">
        <v>84</v>
      </c>
      <c r="DK254" s="384">
        <v>84</v>
      </c>
      <c r="DL254" s="384">
        <v>84</v>
      </c>
      <c r="DM254" s="384">
        <v>84</v>
      </c>
      <c r="DN254" s="384">
        <v>84</v>
      </c>
      <c r="DO254" s="384">
        <v>84</v>
      </c>
      <c r="DP254" s="384">
        <v>84</v>
      </c>
      <c r="DQ254" s="384">
        <v>84</v>
      </c>
      <c r="DR254" s="384">
        <v>84</v>
      </c>
      <c r="DS254" s="384">
        <v>84</v>
      </c>
      <c r="DT254" s="384">
        <v>84</v>
      </c>
      <c r="DU254" s="384">
        <v>84</v>
      </c>
      <c r="DV254" s="384">
        <v>84</v>
      </c>
      <c r="DW254" s="384">
        <v>86</v>
      </c>
      <c r="DX254" s="384">
        <v>88</v>
      </c>
      <c r="DY254" s="384">
        <v>91</v>
      </c>
      <c r="DZ254" s="384">
        <v>91</v>
      </c>
      <c r="EA254" s="384">
        <v>94</v>
      </c>
      <c r="EB254" s="384">
        <v>100</v>
      </c>
      <c r="EC254" s="384">
        <v>114</v>
      </c>
      <c r="ED254" s="384">
        <v>114</v>
      </c>
    </row>
    <row r="255" spans="1:134" x14ac:dyDescent="0.15">
      <c r="A255" s="380">
        <v>32</v>
      </c>
      <c r="B255" s="384">
        <v>78</v>
      </c>
      <c r="C255" s="384">
        <v>78</v>
      </c>
      <c r="D255" s="384">
        <v>78</v>
      </c>
      <c r="E255" s="384">
        <v>78</v>
      </c>
      <c r="F255" s="384">
        <v>78</v>
      </c>
      <c r="G255" s="384">
        <v>78</v>
      </c>
      <c r="H255" s="384">
        <v>78</v>
      </c>
      <c r="I255" s="384">
        <v>78</v>
      </c>
      <c r="J255" s="384">
        <v>78</v>
      </c>
      <c r="K255" s="384">
        <v>78</v>
      </c>
      <c r="L255" s="384">
        <v>78</v>
      </c>
      <c r="M255" s="384">
        <v>78</v>
      </c>
      <c r="N255" s="384">
        <v>78</v>
      </c>
      <c r="O255" s="384">
        <v>78</v>
      </c>
      <c r="P255" s="384">
        <v>81</v>
      </c>
      <c r="Q255" s="384">
        <v>81</v>
      </c>
      <c r="R255" s="384">
        <v>84</v>
      </c>
      <c r="S255" s="384">
        <v>86</v>
      </c>
      <c r="T255" s="384">
        <v>88</v>
      </c>
      <c r="U255" s="384">
        <v>103</v>
      </c>
      <c r="V255" s="384">
        <v>103</v>
      </c>
      <c r="AC255" s="380">
        <v>32</v>
      </c>
      <c r="AD255" s="384">
        <v>78</v>
      </c>
      <c r="AE255" s="384">
        <v>78</v>
      </c>
      <c r="AF255" s="384">
        <v>78</v>
      </c>
      <c r="AG255" s="384">
        <v>78</v>
      </c>
      <c r="AH255" s="384">
        <v>78</v>
      </c>
      <c r="AI255" s="384">
        <v>78</v>
      </c>
      <c r="AJ255" s="384">
        <v>78</v>
      </c>
      <c r="AK255" s="384">
        <v>78</v>
      </c>
      <c r="AL255" s="384">
        <v>78</v>
      </c>
      <c r="AM255" s="384">
        <v>78</v>
      </c>
      <c r="AN255" s="384">
        <v>78</v>
      </c>
      <c r="AO255" s="384">
        <v>78</v>
      </c>
      <c r="AP255" s="384">
        <v>78</v>
      </c>
      <c r="AQ255" s="384">
        <v>81</v>
      </c>
      <c r="AR255" s="384">
        <v>81</v>
      </c>
      <c r="AS255" s="384">
        <v>84</v>
      </c>
      <c r="AT255" s="384">
        <v>84</v>
      </c>
      <c r="AU255" s="384">
        <v>86</v>
      </c>
      <c r="AV255" s="384">
        <v>91</v>
      </c>
      <c r="AW255" s="384">
        <v>105</v>
      </c>
      <c r="AX255" s="384">
        <v>105</v>
      </c>
      <c r="BE255" s="380">
        <v>32</v>
      </c>
      <c r="BF255" s="384">
        <v>78</v>
      </c>
      <c r="BG255" s="384">
        <v>78</v>
      </c>
      <c r="BH255" s="384">
        <v>78</v>
      </c>
      <c r="BI255" s="384">
        <v>78</v>
      </c>
      <c r="BJ255" s="384">
        <v>78</v>
      </c>
      <c r="BK255" s="384">
        <v>78</v>
      </c>
      <c r="BL255" s="384">
        <v>78</v>
      </c>
      <c r="BM255" s="384">
        <v>78</v>
      </c>
      <c r="BN255" s="384">
        <v>78</v>
      </c>
      <c r="BO255" s="384">
        <v>78</v>
      </c>
      <c r="BP255" s="384">
        <v>78</v>
      </c>
      <c r="BQ255" s="384">
        <v>78</v>
      </c>
      <c r="BR255" s="384">
        <v>78</v>
      </c>
      <c r="BS255" s="384">
        <v>81</v>
      </c>
      <c r="BT255" s="384">
        <v>84</v>
      </c>
      <c r="BU255" s="384">
        <v>84</v>
      </c>
      <c r="BV255" s="384">
        <v>84</v>
      </c>
      <c r="BW255" s="384">
        <v>88</v>
      </c>
      <c r="BX255" s="384">
        <v>91</v>
      </c>
      <c r="BY255" s="384">
        <v>106</v>
      </c>
      <c r="BZ255" s="384">
        <v>106</v>
      </c>
      <c r="CG255" s="380">
        <v>32</v>
      </c>
      <c r="CH255" s="384">
        <v>84</v>
      </c>
      <c r="CI255" s="384">
        <v>84</v>
      </c>
      <c r="CJ255" s="384">
        <v>84</v>
      </c>
      <c r="CK255" s="384">
        <v>84</v>
      </c>
      <c r="CL255" s="384">
        <v>84</v>
      </c>
      <c r="CM255" s="384">
        <v>84</v>
      </c>
      <c r="CN255" s="384">
        <v>84</v>
      </c>
      <c r="CO255" s="384">
        <v>84</v>
      </c>
      <c r="CP255" s="384">
        <v>84</v>
      </c>
      <c r="CQ255" s="384">
        <v>84</v>
      </c>
      <c r="CR255" s="384">
        <v>84</v>
      </c>
      <c r="CS255" s="384">
        <v>84</v>
      </c>
      <c r="CT255" s="384">
        <v>84</v>
      </c>
      <c r="CU255" s="384">
        <v>86</v>
      </c>
      <c r="CV255" s="384">
        <v>88</v>
      </c>
      <c r="CW255" s="384">
        <v>88</v>
      </c>
      <c r="CX255" s="384">
        <v>91</v>
      </c>
      <c r="CY255" s="384">
        <v>94</v>
      </c>
      <c r="CZ255" s="384">
        <v>97</v>
      </c>
      <c r="DA255" s="384">
        <v>113</v>
      </c>
      <c r="DB255" s="384">
        <v>113</v>
      </c>
      <c r="DI255" s="380">
        <v>32</v>
      </c>
      <c r="DJ255" s="384">
        <v>84</v>
      </c>
      <c r="DK255" s="384">
        <v>84</v>
      </c>
      <c r="DL255" s="384">
        <v>84</v>
      </c>
      <c r="DM255" s="384">
        <v>84</v>
      </c>
      <c r="DN255" s="384">
        <v>84</v>
      </c>
      <c r="DO255" s="384">
        <v>84</v>
      </c>
      <c r="DP255" s="384">
        <v>84</v>
      </c>
      <c r="DQ255" s="384">
        <v>84</v>
      </c>
      <c r="DR255" s="384">
        <v>84</v>
      </c>
      <c r="DS255" s="384">
        <v>84</v>
      </c>
      <c r="DT255" s="384">
        <v>84</v>
      </c>
      <c r="DU255" s="384">
        <v>84</v>
      </c>
      <c r="DV255" s="384">
        <v>84</v>
      </c>
      <c r="DW255" s="384">
        <v>86</v>
      </c>
      <c r="DX255" s="384">
        <v>88</v>
      </c>
      <c r="DY255" s="384">
        <v>91</v>
      </c>
      <c r="DZ255" s="384">
        <v>91</v>
      </c>
      <c r="EA255" s="384">
        <v>94</v>
      </c>
      <c r="EB255" s="384">
        <v>100</v>
      </c>
      <c r="EC255" s="384">
        <v>114</v>
      </c>
      <c r="ED255" s="384">
        <v>114</v>
      </c>
    </row>
    <row r="256" spans="1:134" x14ac:dyDescent="0.15">
      <c r="A256" s="380">
        <v>33</v>
      </c>
      <c r="B256" s="384">
        <v>81</v>
      </c>
      <c r="C256" s="384">
        <v>81</v>
      </c>
      <c r="D256" s="384">
        <v>81</v>
      </c>
      <c r="E256" s="384">
        <v>81</v>
      </c>
      <c r="F256" s="384">
        <v>81</v>
      </c>
      <c r="G256" s="384">
        <v>81</v>
      </c>
      <c r="H256" s="384">
        <v>81</v>
      </c>
      <c r="I256" s="384">
        <v>81</v>
      </c>
      <c r="J256" s="384">
        <v>81</v>
      </c>
      <c r="K256" s="384">
        <v>81</v>
      </c>
      <c r="L256" s="384">
        <v>81</v>
      </c>
      <c r="M256" s="384">
        <v>81</v>
      </c>
      <c r="N256" s="384">
        <v>81</v>
      </c>
      <c r="O256" s="384">
        <v>81</v>
      </c>
      <c r="P256" s="384">
        <v>84</v>
      </c>
      <c r="Q256" s="384">
        <v>84</v>
      </c>
      <c r="R256" s="384">
        <v>86</v>
      </c>
      <c r="S256" s="384">
        <v>88</v>
      </c>
      <c r="T256" s="384">
        <v>91</v>
      </c>
      <c r="U256" s="384">
        <v>107</v>
      </c>
      <c r="V256" s="384">
        <v>107</v>
      </c>
      <c r="AC256" s="380">
        <v>33</v>
      </c>
      <c r="AD256" s="384">
        <v>81</v>
      </c>
      <c r="AE256" s="384">
        <v>81</v>
      </c>
      <c r="AF256" s="384">
        <v>81</v>
      </c>
      <c r="AG256" s="384">
        <v>81</v>
      </c>
      <c r="AH256" s="384">
        <v>81</v>
      </c>
      <c r="AI256" s="384">
        <v>81</v>
      </c>
      <c r="AJ256" s="384">
        <v>81</v>
      </c>
      <c r="AK256" s="384">
        <v>81</v>
      </c>
      <c r="AL256" s="384">
        <v>81</v>
      </c>
      <c r="AM256" s="384">
        <v>81</v>
      </c>
      <c r="AN256" s="384">
        <v>81</v>
      </c>
      <c r="AO256" s="384">
        <v>81</v>
      </c>
      <c r="AP256" s="384">
        <v>81</v>
      </c>
      <c r="AQ256" s="384">
        <v>84</v>
      </c>
      <c r="AR256" s="384">
        <v>84</v>
      </c>
      <c r="AS256" s="384">
        <v>86</v>
      </c>
      <c r="AT256" s="384">
        <v>86</v>
      </c>
      <c r="AU256" s="384">
        <v>88</v>
      </c>
      <c r="AV256" s="384">
        <v>94</v>
      </c>
      <c r="AW256" s="384">
        <v>108</v>
      </c>
      <c r="AX256" s="384">
        <v>108</v>
      </c>
      <c r="BE256" s="380">
        <v>33</v>
      </c>
      <c r="BF256" s="384">
        <v>81</v>
      </c>
      <c r="BG256" s="384">
        <v>81</v>
      </c>
      <c r="BH256" s="384">
        <v>81</v>
      </c>
      <c r="BI256" s="384">
        <v>81</v>
      </c>
      <c r="BJ256" s="384">
        <v>81</v>
      </c>
      <c r="BK256" s="384">
        <v>81</v>
      </c>
      <c r="BL256" s="384">
        <v>81</v>
      </c>
      <c r="BM256" s="384">
        <v>81</v>
      </c>
      <c r="BN256" s="384">
        <v>81</v>
      </c>
      <c r="BO256" s="384">
        <v>81</v>
      </c>
      <c r="BP256" s="384">
        <v>81</v>
      </c>
      <c r="BQ256" s="384">
        <v>81</v>
      </c>
      <c r="BR256" s="384">
        <v>81</v>
      </c>
      <c r="BS256" s="384">
        <v>84</v>
      </c>
      <c r="BT256" s="384">
        <v>86</v>
      </c>
      <c r="BU256" s="384">
        <v>86</v>
      </c>
      <c r="BV256" s="384">
        <v>86</v>
      </c>
      <c r="BW256" s="384">
        <v>91</v>
      </c>
      <c r="BX256" s="384">
        <v>94</v>
      </c>
      <c r="BY256" s="384">
        <v>110</v>
      </c>
      <c r="BZ256" s="384">
        <v>110</v>
      </c>
      <c r="CG256" s="380">
        <v>33</v>
      </c>
      <c r="CH256" s="384">
        <v>84</v>
      </c>
      <c r="CI256" s="384">
        <v>84</v>
      </c>
      <c r="CJ256" s="384">
        <v>84</v>
      </c>
      <c r="CK256" s="384">
        <v>84</v>
      </c>
      <c r="CL256" s="384">
        <v>84</v>
      </c>
      <c r="CM256" s="384">
        <v>84</v>
      </c>
      <c r="CN256" s="384">
        <v>84</v>
      </c>
      <c r="CO256" s="384">
        <v>84</v>
      </c>
      <c r="CP256" s="384">
        <v>84</v>
      </c>
      <c r="CQ256" s="384">
        <v>84</v>
      </c>
      <c r="CR256" s="384">
        <v>84</v>
      </c>
      <c r="CS256" s="384">
        <v>84</v>
      </c>
      <c r="CT256" s="384">
        <v>84</v>
      </c>
      <c r="CU256" s="384">
        <v>86</v>
      </c>
      <c r="CV256" s="384">
        <v>88</v>
      </c>
      <c r="CW256" s="384">
        <v>88</v>
      </c>
      <c r="CX256" s="384">
        <v>91</v>
      </c>
      <c r="CY256" s="384">
        <v>94</v>
      </c>
      <c r="CZ256" s="384">
        <v>97</v>
      </c>
      <c r="DA256" s="384">
        <v>113</v>
      </c>
      <c r="DB256" s="384">
        <v>113</v>
      </c>
      <c r="DI256" s="380">
        <v>33</v>
      </c>
      <c r="DJ256" s="384">
        <v>86</v>
      </c>
      <c r="DK256" s="384">
        <v>86</v>
      </c>
      <c r="DL256" s="384">
        <v>86</v>
      </c>
      <c r="DM256" s="384">
        <v>86</v>
      </c>
      <c r="DN256" s="384">
        <v>86</v>
      </c>
      <c r="DO256" s="384">
        <v>86</v>
      </c>
      <c r="DP256" s="384">
        <v>86</v>
      </c>
      <c r="DQ256" s="384">
        <v>86</v>
      </c>
      <c r="DR256" s="384">
        <v>86</v>
      </c>
      <c r="DS256" s="384">
        <v>86</v>
      </c>
      <c r="DT256" s="384">
        <v>86</v>
      </c>
      <c r="DU256" s="384">
        <v>86</v>
      </c>
      <c r="DV256" s="384">
        <v>86</v>
      </c>
      <c r="DW256" s="384">
        <v>88</v>
      </c>
      <c r="DX256" s="384">
        <v>91</v>
      </c>
      <c r="DY256" s="384">
        <v>94</v>
      </c>
      <c r="DZ256" s="384">
        <v>94</v>
      </c>
      <c r="EA256" s="384">
        <v>97</v>
      </c>
      <c r="EB256" s="384">
        <v>102</v>
      </c>
      <c r="EC256" s="384">
        <v>119</v>
      </c>
      <c r="ED256" s="384">
        <v>119</v>
      </c>
    </row>
    <row r="257" spans="1:134" x14ac:dyDescent="0.15">
      <c r="A257" s="380">
        <v>34</v>
      </c>
      <c r="B257" s="384">
        <v>81</v>
      </c>
      <c r="C257" s="384">
        <v>81</v>
      </c>
      <c r="D257" s="384">
        <v>81</v>
      </c>
      <c r="E257" s="384">
        <v>81</v>
      </c>
      <c r="F257" s="384">
        <v>81</v>
      </c>
      <c r="G257" s="384">
        <v>81</v>
      </c>
      <c r="H257" s="384">
        <v>81</v>
      </c>
      <c r="I257" s="384">
        <v>81</v>
      </c>
      <c r="J257" s="384">
        <v>81</v>
      </c>
      <c r="K257" s="384">
        <v>81</v>
      </c>
      <c r="L257" s="384">
        <v>81</v>
      </c>
      <c r="M257" s="384">
        <v>81</v>
      </c>
      <c r="N257" s="384">
        <v>81</v>
      </c>
      <c r="O257" s="384">
        <v>81</v>
      </c>
      <c r="P257" s="384">
        <v>84</v>
      </c>
      <c r="Q257" s="384">
        <v>84</v>
      </c>
      <c r="R257" s="384">
        <v>86</v>
      </c>
      <c r="S257" s="384">
        <v>88</v>
      </c>
      <c r="T257" s="384">
        <v>91</v>
      </c>
      <c r="U257" s="384">
        <v>107</v>
      </c>
      <c r="V257" s="384">
        <v>107</v>
      </c>
      <c r="AC257" s="380">
        <v>34</v>
      </c>
      <c r="AD257" s="384">
        <v>81</v>
      </c>
      <c r="AE257" s="384">
        <v>81</v>
      </c>
      <c r="AF257" s="384">
        <v>81</v>
      </c>
      <c r="AG257" s="384">
        <v>81</v>
      </c>
      <c r="AH257" s="384">
        <v>81</v>
      </c>
      <c r="AI257" s="384">
        <v>81</v>
      </c>
      <c r="AJ257" s="384">
        <v>81</v>
      </c>
      <c r="AK257" s="384">
        <v>81</v>
      </c>
      <c r="AL257" s="384">
        <v>81</v>
      </c>
      <c r="AM257" s="384">
        <v>81</v>
      </c>
      <c r="AN257" s="384">
        <v>81</v>
      </c>
      <c r="AO257" s="384">
        <v>81</v>
      </c>
      <c r="AP257" s="384">
        <v>81</v>
      </c>
      <c r="AQ257" s="384">
        <v>84</v>
      </c>
      <c r="AR257" s="384">
        <v>84</v>
      </c>
      <c r="AS257" s="384">
        <v>86</v>
      </c>
      <c r="AT257" s="384">
        <v>86</v>
      </c>
      <c r="AU257" s="384">
        <v>88</v>
      </c>
      <c r="AV257" s="384">
        <v>94</v>
      </c>
      <c r="AW257" s="384">
        <v>108</v>
      </c>
      <c r="AX257" s="384">
        <v>108</v>
      </c>
      <c r="BE257" s="380">
        <v>34</v>
      </c>
      <c r="BF257" s="384">
        <v>84</v>
      </c>
      <c r="BG257" s="384">
        <v>84</v>
      </c>
      <c r="BH257" s="384">
        <v>84</v>
      </c>
      <c r="BI257" s="384">
        <v>84</v>
      </c>
      <c r="BJ257" s="384">
        <v>84</v>
      </c>
      <c r="BK257" s="384">
        <v>84</v>
      </c>
      <c r="BL257" s="384">
        <v>84</v>
      </c>
      <c r="BM257" s="384">
        <v>84</v>
      </c>
      <c r="BN257" s="384">
        <v>84</v>
      </c>
      <c r="BO257" s="384">
        <v>84</v>
      </c>
      <c r="BP257" s="384">
        <v>84</v>
      </c>
      <c r="BQ257" s="384">
        <v>84</v>
      </c>
      <c r="BR257" s="384">
        <v>84</v>
      </c>
      <c r="BS257" s="384">
        <v>86</v>
      </c>
      <c r="BT257" s="384">
        <v>88</v>
      </c>
      <c r="BU257" s="384">
        <v>88</v>
      </c>
      <c r="BV257" s="384">
        <v>88</v>
      </c>
      <c r="BW257" s="384">
        <v>94</v>
      </c>
      <c r="BX257" s="384">
        <v>97</v>
      </c>
      <c r="BY257" s="384">
        <v>112</v>
      </c>
      <c r="BZ257" s="384">
        <v>112</v>
      </c>
      <c r="CG257" s="380">
        <v>34</v>
      </c>
      <c r="CH257" s="384">
        <v>86</v>
      </c>
      <c r="CI257" s="384">
        <v>86</v>
      </c>
      <c r="CJ257" s="384">
        <v>86</v>
      </c>
      <c r="CK257" s="384">
        <v>86</v>
      </c>
      <c r="CL257" s="384">
        <v>86</v>
      </c>
      <c r="CM257" s="384">
        <v>86</v>
      </c>
      <c r="CN257" s="384">
        <v>86</v>
      </c>
      <c r="CO257" s="384">
        <v>86</v>
      </c>
      <c r="CP257" s="384">
        <v>86</v>
      </c>
      <c r="CQ257" s="384">
        <v>86</v>
      </c>
      <c r="CR257" s="384">
        <v>86</v>
      </c>
      <c r="CS257" s="384">
        <v>86</v>
      </c>
      <c r="CT257" s="384">
        <v>86</v>
      </c>
      <c r="CU257" s="384">
        <v>88</v>
      </c>
      <c r="CV257" s="384">
        <v>91</v>
      </c>
      <c r="CW257" s="384">
        <v>91</v>
      </c>
      <c r="CX257" s="384">
        <v>94</v>
      </c>
      <c r="CY257" s="384">
        <v>97</v>
      </c>
      <c r="CZ257" s="384">
        <v>100</v>
      </c>
      <c r="DA257" s="384">
        <v>117</v>
      </c>
      <c r="DB257" s="384">
        <v>117</v>
      </c>
      <c r="DI257" s="380">
        <v>34</v>
      </c>
      <c r="DJ257" s="384">
        <v>86</v>
      </c>
      <c r="DK257" s="384">
        <v>86</v>
      </c>
      <c r="DL257" s="384">
        <v>86</v>
      </c>
      <c r="DM257" s="384">
        <v>86</v>
      </c>
      <c r="DN257" s="384">
        <v>86</v>
      </c>
      <c r="DO257" s="384">
        <v>86</v>
      </c>
      <c r="DP257" s="384">
        <v>86</v>
      </c>
      <c r="DQ257" s="384">
        <v>86</v>
      </c>
      <c r="DR257" s="384">
        <v>86</v>
      </c>
      <c r="DS257" s="384">
        <v>86</v>
      </c>
      <c r="DT257" s="384">
        <v>86</v>
      </c>
      <c r="DU257" s="384">
        <v>86</v>
      </c>
      <c r="DV257" s="384">
        <v>86</v>
      </c>
      <c r="DW257" s="384">
        <v>88</v>
      </c>
      <c r="DX257" s="384">
        <v>91</v>
      </c>
      <c r="DY257" s="384">
        <v>94</v>
      </c>
      <c r="DZ257" s="384">
        <v>94</v>
      </c>
      <c r="EA257" s="384">
        <v>97</v>
      </c>
      <c r="EB257" s="384">
        <v>102</v>
      </c>
      <c r="EC257" s="384">
        <v>119</v>
      </c>
      <c r="ED257" s="384">
        <v>119</v>
      </c>
    </row>
    <row r="258" spans="1:134" x14ac:dyDescent="0.15">
      <c r="A258" s="380">
        <v>35</v>
      </c>
      <c r="B258" s="384">
        <v>84</v>
      </c>
      <c r="C258" s="384">
        <v>84</v>
      </c>
      <c r="D258" s="384">
        <v>84</v>
      </c>
      <c r="E258" s="384">
        <v>84</v>
      </c>
      <c r="F258" s="384">
        <v>84</v>
      </c>
      <c r="G258" s="384">
        <v>84</v>
      </c>
      <c r="H258" s="384">
        <v>84</v>
      </c>
      <c r="I258" s="384">
        <v>84</v>
      </c>
      <c r="J258" s="384">
        <v>84</v>
      </c>
      <c r="K258" s="384">
        <v>84</v>
      </c>
      <c r="L258" s="384">
        <v>84</v>
      </c>
      <c r="M258" s="384">
        <v>84</v>
      </c>
      <c r="N258" s="384">
        <v>84</v>
      </c>
      <c r="O258" s="384">
        <v>84</v>
      </c>
      <c r="P258" s="384">
        <v>86</v>
      </c>
      <c r="Q258" s="384">
        <v>86</v>
      </c>
      <c r="R258" s="384">
        <v>88</v>
      </c>
      <c r="S258" s="384">
        <v>91</v>
      </c>
      <c r="T258" s="384">
        <v>94</v>
      </c>
      <c r="U258" s="384">
        <v>110</v>
      </c>
      <c r="V258" s="384">
        <v>110</v>
      </c>
      <c r="AC258" s="380">
        <v>35</v>
      </c>
      <c r="AD258" s="384">
        <v>84</v>
      </c>
      <c r="AE258" s="384">
        <v>84</v>
      </c>
      <c r="AF258" s="384">
        <v>84</v>
      </c>
      <c r="AG258" s="384">
        <v>84</v>
      </c>
      <c r="AH258" s="384">
        <v>84</v>
      </c>
      <c r="AI258" s="384">
        <v>84</v>
      </c>
      <c r="AJ258" s="384">
        <v>84</v>
      </c>
      <c r="AK258" s="384">
        <v>84</v>
      </c>
      <c r="AL258" s="384">
        <v>84</v>
      </c>
      <c r="AM258" s="384">
        <v>84</v>
      </c>
      <c r="AN258" s="384">
        <v>84</v>
      </c>
      <c r="AO258" s="384">
        <v>84</v>
      </c>
      <c r="AP258" s="384">
        <v>84</v>
      </c>
      <c r="AQ258" s="384">
        <v>86</v>
      </c>
      <c r="AR258" s="384">
        <v>86</v>
      </c>
      <c r="AS258" s="384">
        <v>88</v>
      </c>
      <c r="AT258" s="384">
        <v>88</v>
      </c>
      <c r="AU258" s="384">
        <v>91</v>
      </c>
      <c r="AV258" s="384">
        <v>97</v>
      </c>
      <c r="AW258" s="384">
        <v>111</v>
      </c>
      <c r="AX258" s="384">
        <v>111</v>
      </c>
      <c r="BE258" s="380">
        <v>35</v>
      </c>
      <c r="BF258" s="384">
        <v>84</v>
      </c>
      <c r="BG258" s="384">
        <v>84</v>
      </c>
      <c r="BH258" s="384">
        <v>84</v>
      </c>
      <c r="BI258" s="384">
        <v>84</v>
      </c>
      <c r="BJ258" s="384">
        <v>84</v>
      </c>
      <c r="BK258" s="384">
        <v>84</v>
      </c>
      <c r="BL258" s="384">
        <v>84</v>
      </c>
      <c r="BM258" s="384">
        <v>84</v>
      </c>
      <c r="BN258" s="384">
        <v>84</v>
      </c>
      <c r="BO258" s="384">
        <v>84</v>
      </c>
      <c r="BP258" s="384">
        <v>84</v>
      </c>
      <c r="BQ258" s="384">
        <v>84</v>
      </c>
      <c r="BR258" s="384">
        <v>84</v>
      </c>
      <c r="BS258" s="384">
        <v>86</v>
      </c>
      <c r="BT258" s="384">
        <v>88</v>
      </c>
      <c r="BU258" s="384">
        <v>88</v>
      </c>
      <c r="BV258" s="384">
        <v>88</v>
      </c>
      <c r="BW258" s="384">
        <v>94</v>
      </c>
      <c r="BX258" s="384">
        <v>97</v>
      </c>
      <c r="BY258" s="395">
        <v>112</v>
      </c>
      <c r="BZ258" s="395">
        <v>112</v>
      </c>
      <c r="CG258" s="380">
        <v>35</v>
      </c>
      <c r="CH258" s="384">
        <v>86</v>
      </c>
      <c r="CI258" s="384">
        <v>86</v>
      </c>
      <c r="CJ258" s="384">
        <v>86</v>
      </c>
      <c r="CK258" s="384">
        <v>86</v>
      </c>
      <c r="CL258" s="384">
        <v>86</v>
      </c>
      <c r="CM258" s="384">
        <v>86</v>
      </c>
      <c r="CN258" s="384">
        <v>86</v>
      </c>
      <c r="CO258" s="384">
        <v>86</v>
      </c>
      <c r="CP258" s="384">
        <v>86</v>
      </c>
      <c r="CQ258" s="384">
        <v>86</v>
      </c>
      <c r="CR258" s="384">
        <v>86</v>
      </c>
      <c r="CS258" s="384">
        <v>86</v>
      </c>
      <c r="CT258" s="384">
        <v>86</v>
      </c>
      <c r="CU258" s="384">
        <v>88</v>
      </c>
      <c r="CV258" s="384">
        <v>91</v>
      </c>
      <c r="CW258" s="384">
        <v>91</v>
      </c>
      <c r="CX258" s="384">
        <v>94</v>
      </c>
      <c r="CY258" s="384">
        <v>97</v>
      </c>
      <c r="CZ258" s="384">
        <v>100</v>
      </c>
      <c r="DA258" s="384">
        <v>117</v>
      </c>
      <c r="DB258" s="384">
        <v>117</v>
      </c>
      <c r="DI258" s="380">
        <v>35</v>
      </c>
      <c r="DJ258" s="384">
        <v>88</v>
      </c>
      <c r="DK258" s="384">
        <v>88</v>
      </c>
      <c r="DL258" s="384">
        <v>88</v>
      </c>
      <c r="DM258" s="384">
        <v>88</v>
      </c>
      <c r="DN258" s="384">
        <v>88</v>
      </c>
      <c r="DO258" s="384">
        <v>88</v>
      </c>
      <c r="DP258" s="384">
        <v>88</v>
      </c>
      <c r="DQ258" s="384">
        <v>88</v>
      </c>
      <c r="DR258" s="384">
        <v>88</v>
      </c>
      <c r="DS258" s="384">
        <v>88</v>
      </c>
      <c r="DT258" s="384">
        <v>88</v>
      </c>
      <c r="DU258" s="384">
        <v>88</v>
      </c>
      <c r="DV258" s="384">
        <v>88</v>
      </c>
      <c r="DW258" s="384">
        <v>91</v>
      </c>
      <c r="DX258" s="384">
        <v>94</v>
      </c>
      <c r="DY258" s="384">
        <v>97</v>
      </c>
      <c r="DZ258" s="384">
        <v>97</v>
      </c>
      <c r="EA258" s="384">
        <v>100</v>
      </c>
      <c r="EB258" s="384">
        <v>104</v>
      </c>
      <c r="EC258" s="384">
        <v>123</v>
      </c>
      <c r="ED258" s="384">
        <v>123</v>
      </c>
    </row>
    <row r="259" spans="1:134" x14ac:dyDescent="0.15">
      <c r="A259" s="380">
        <v>36</v>
      </c>
      <c r="B259" s="384">
        <v>86</v>
      </c>
      <c r="C259" s="384">
        <v>86</v>
      </c>
      <c r="D259" s="384">
        <v>86</v>
      </c>
      <c r="E259" s="384">
        <v>86</v>
      </c>
      <c r="F259" s="384">
        <v>86</v>
      </c>
      <c r="G259" s="384">
        <v>86</v>
      </c>
      <c r="H259" s="384">
        <v>86</v>
      </c>
      <c r="I259" s="384">
        <v>86</v>
      </c>
      <c r="J259" s="384">
        <v>86</v>
      </c>
      <c r="K259" s="384">
        <v>86</v>
      </c>
      <c r="L259" s="384">
        <v>86</v>
      </c>
      <c r="M259" s="384">
        <v>86</v>
      </c>
      <c r="N259" s="384">
        <v>86</v>
      </c>
      <c r="O259" s="384">
        <v>86</v>
      </c>
      <c r="P259" s="384">
        <v>88</v>
      </c>
      <c r="Q259" s="384">
        <v>88</v>
      </c>
      <c r="R259" s="384">
        <v>91</v>
      </c>
      <c r="S259" s="384">
        <v>94</v>
      </c>
      <c r="T259" s="384">
        <v>97</v>
      </c>
      <c r="U259" s="384">
        <v>114</v>
      </c>
      <c r="V259" s="384">
        <v>114</v>
      </c>
      <c r="AC259" s="380">
        <v>36</v>
      </c>
      <c r="AD259" s="384">
        <v>86</v>
      </c>
      <c r="AE259" s="384">
        <v>86</v>
      </c>
      <c r="AF259" s="384">
        <v>86</v>
      </c>
      <c r="AG259" s="384">
        <v>86</v>
      </c>
      <c r="AH259" s="384">
        <v>86</v>
      </c>
      <c r="AI259" s="384">
        <v>86</v>
      </c>
      <c r="AJ259" s="384">
        <v>86</v>
      </c>
      <c r="AK259" s="384">
        <v>86</v>
      </c>
      <c r="AL259" s="384">
        <v>86</v>
      </c>
      <c r="AM259" s="384">
        <v>86</v>
      </c>
      <c r="AN259" s="384">
        <v>86</v>
      </c>
      <c r="AO259" s="384">
        <v>86</v>
      </c>
      <c r="AP259" s="384">
        <v>86</v>
      </c>
      <c r="AQ259" s="384">
        <v>88</v>
      </c>
      <c r="AR259" s="384">
        <v>88</v>
      </c>
      <c r="AS259" s="384">
        <v>91</v>
      </c>
      <c r="AT259" s="384">
        <v>91</v>
      </c>
      <c r="AU259" s="384">
        <v>94</v>
      </c>
      <c r="AV259" s="384">
        <v>100</v>
      </c>
      <c r="AW259" s="384">
        <v>115</v>
      </c>
      <c r="AX259" s="384">
        <v>115</v>
      </c>
      <c r="BE259" s="380">
        <v>36</v>
      </c>
      <c r="BF259" s="384">
        <v>86</v>
      </c>
      <c r="BG259" s="384">
        <v>86</v>
      </c>
      <c r="BH259" s="384">
        <v>86</v>
      </c>
      <c r="BI259" s="384">
        <v>86</v>
      </c>
      <c r="BJ259" s="384">
        <v>86</v>
      </c>
      <c r="BK259" s="384">
        <v>86</v>
      </c>
      <c r="BL259" s="384">
        <v>86</v>
      </c>
      <c r="BM259" s="384">
        <v>86</v>
      </c>
      <c r="BN259" s="384">
        <v>86</v>
      </c>
      <c r="BO259" s="384">
        <v>86</v>
      </c>
      <c r="BP259" s="384">
        <v>86</v>
      </c>
      <c r="BQ259" s="384">
        <v>86</v>
      </c>
      <c r="BR259" s="384">
        <v>86</v>
      </c>
      <c r="BS259" s="384">
        <v>88</v>
      </c>
      <c r="BT259" s="384">
        <v>91</v>
      </c>
      <c r="BU259" s="384">
        <v>91</v>
      </c>
      <c r="BV259" s="384">
        <v>91</v>
      </c>
      <c r="BW259" s="384">
        <v>97</v>
      </c>
      <c r="BX259" s="384">
        <v>100</v>
      </c>
      <c r="BY259" s="384">
        <v>116</v>
      </c>
      <c r="BZ259" s="384">
        <v>116</v>
      </c>
      <c r="CG259" s="380">
        <v>36</v>
      </c>
      <c r="CH259" s="384">
        <v>88</v>
      </c>
      <c r="CI259" s="384">
        <v>88</v>
      </c>
      <c r="CJ259" s="384">
        <v>88</v>
      </c>
      <c r="CK259" s="384">
        <v>88</v>
      </c>
      <c r="CL259" s="384">
        <v>88</v>
      </c>
      <c r="CM259" s="384">
        <v>88</v>
      </c>
      <c r="CN259" s="384">
        <v>88</v>
      </c>
      <c r="CO259" s="384">
        <v>88</v>
      </c>
      <c r="CP259" s="384">
        <v>88</v>
      </c>
      <c r="CQ259" s="384">
        <v>88</v>
      </c>
      <c r="CR259" s="384">
        <v>88</v>
      </c>
      <c r="CS259" s="384">
        <v>88</v>
      </c>
      <c r="CT259" s="384">
        <v>88</v>
      </c>
      <c r="CU259" s="384">
        <v>91</v>
      </c>
      <c r="CV259" s="384">
        <v>94</v>
      </c>
      <c r="CW259" s="384">
        <v>94</v>
      </c>
      <c r="CX259" s="384">
        <v>97</v>
      </c>
      <c r="CY259" s="384">
        <v>100</v>
      </c>
      <c r="CZ259" s="384">
        <v>102</v>
      </c>
      <c r="DA259" s="384">
        <v>122</v>
      </c>
      <c r="DB259" s="384">
        <v>122</v>
      </c>
      <c r="DI259" s="380">
        <v>36</v>
      </c>
      <c r="DJ259" s="384">
        <v>88</v>
      </c>
      <c r="DK259" s="384">
        <v>88</v>
      </c>
      <c r="DL259" s="384">
        <v>88</v>
      </c>
      <c r="DM259" s="384">
        <v>88</v>
      </c>
      <c r="DN259" s="384">
        <v>88</v>
      </c>
      <c r="DO259" s="384">
        <v>88</v>
      </c>
      <c r="DP259" s="384">
        <v>88</v>
      </c>
      <c r="DQ259" s="384">
        <v>88</v>
      </c>
      <c r="DR259" s="384">
        <v>88</v>
      </c>
      <c r="DS259" s="384">
        <v>88</v>
      </c>
      <c r="DT259" s="384">
        <v>88</v>
      </c>
      <c r="DU259" s="384">
        <v>88</v>
      </c>
      <c r="DV259" s="384">
        <v>88</v>
      </c>
      <c r="DW259" s="384">
        <v>91</v>
      </c>
      <c r="DX259" s="384">
        <v>94</v>
      </c>
      <c r="DY259" s="384">
        <v>97</v>
      </c>
      <c r="DZ259" s="384">
        <v>97</v>
      </c>
      <c r="EA259" s="384">
        <v>100</v>
      </c>
      <c r="EB259" s="384">
        <v>104</v>
      </c>
      <c r="EC259" s="384">
        <v>123</v>
      </c>
      <c r="ED259" s="384">
        <v>123</v>
      </c>
    </row>
    <row r="260" spans="1:134" x14ac:dyDescent="0.15">
      <c r="A260" s="380">
        <v>37</v>
      </c>
      <c r="B260" s="384">
        <v>88</v>
      </c>
      <c r="C260" s="384">
        <v>88</v>
      </c>
      <c r="D260" s="384">
        <v>88</v>
      </c>
      <c r="E260" s="384">
        <v>88</v>
      </c>
      <c r="F260" s="384">
        <v>88</v>
      </c>
      <c r="G260" s="384">
        <v>88</v>
      </c>
      <c r="H260" s="384">
        <v>88</v>
      </c>
      <c r="I260" s="384">
        <v>88</v>
      </c>
      <c r="J260" s="384">
        <v>88</v>
      </c>
      <c r="K260" s="384">
        <v>88</v>
      </c>
      <c r="L260" s="384">
        <v>88</v>
      </c>
      <c r="M260" s="384">
        <v>88</v>
      </c>
      <c r="N260" s="384">
        <v>88</v>
      </c>
      <c r="O260" s="384">
        <v>88</v>
      </c>
      <c r="P260" s="384">
        <v>91</v>
      </c>
      <c r="Q260" s="384">
        <v>91</v>
      </c>
      <c r="R260" s="384">
        <v>94</v>
      </c>
      <c r="S260" s="384">
        <v>97</v>
      </c>
      <c r="T260" s="384">
        <v>100</v>
      </c>
      <c r="U260" s="384">
        <v>118</v>
      </c>
      <c r="V260" s="384">
        <v>118</v>
      </c>
      <c r="AC260" s="380">
        <v>37</v>
      </c>
      <c r="AD260" s="384">
        <v>88</v>
      </c>
      <c r="AE260" s="384">
        <v>88</v>
      </c>
      <c r="AF260" s="384">
        <v>88</v>
      </c>
      <c r="AG260" s="384">
        <v>88</v>
      </c>
      <c r="AH260" s="384">
        <v>88</v>
      </c>
      <c r="AI260" s="384">
        <v>88</v>
      </c>
      <c r="AJ260" s="384">
        <v>88</v>
      </c>
      <c r="AK260" s="384">
        <v>88</v>
      </c>
      <c r="AL260" s="384">
        <v>88</v>
      </c>
      <c r="AM260" s="384">
        <v>88</v>
      </c>
      <c r="AN260" s="384">
        <v>88</v>
      </c>
      <c r="AO260" s="384">
        <v>88</v>
      </c>
      <c r="AP260" s="384">
        <v>88</v>
      </c>
      <c r="AQ260" s="384">
        <v>91</v>
      </c>
      <c r="AR260" s="384">
        <v>91</v>
      </c>
      <c r="AS260" s="384">
        <v>94</v>
      </c>
      <c r="AT260" s="384">
        <v>94</v>
      </c>
      <c r="AU260" s="384">
        <v>97</v>
      </c>
      <c r="AV260" s="384">
        <v>102</v>
      </c>
      <c r="AW260" s="384">
        <v>119</v>
      </c>
      <c r="AX260" s="384">
        <v>119</v>
      </c>
      <c r="BE260" s="380">
        <v>37</v>
      </c>
      <c r="BF260" s="384">
        <v>88</v>
      </c>
      <c r="BG260" s="384">
        <v>88</v>
      </c>
      <c r="BH260" s="384">
        <v>88</v>
      </c>
      <c r="BI260" s="384">
        <v>88</v>
      </c>
      <c r="BJ260" s="384">
        <v>88</v>
      </c>
      <c r="BK260" s="384">
        <v>88</v>
      </c>
      <c r="BL260" s="384">
        <v>88</v>
      </c>
      <c r="BM260" s="384">
        <v>88</v>
      </c>
      <c r="BN260" s="384">
        <v>88</v>
      </c>
      <c r="BO260" s="384">
        <v>88</v>
      </c>
      <c r="BP260" s="384">
        <v>88</v>
      </c>
      <c r="BQ260" s="384">
        <v>88</v>
      </c>
      <c r="BR260" s="384">
        <v>88</v>
      </c>
      <c r="BS260" s="384">
        <v>91</v>
      </c>
      <c r="BT260" s="384">
        <v>94</v>
      </c>
      <c r="BU260" s="384">
        <v>94</v>
      </c>
      <c r="BV260" s="384">
        <v>94</v>
      </c>
      <c r="BW260" s="384">
        <v>100</v>
      </c>
      <c r="BX260" s="384">
        <v>102</v>
      </c>
      <c r="BY260" s="384">
        <v>121</v>
      </c>
      <c r="BZ260" s="384">
        <v>121</v>
      </c>
      <c r="CG260" s="380">
        <v>37</v>
      </c>
      <c r="CH260" s="384">
        <v>88</v>
      </c>
      <c r="CI260" s="384">
        <v>88</v>
      </c>
      <c r="CJ260" s="384">
        <v>88</v>
      </c>
      <c r="CK260" s="384">
        <v>88</v>
      </c>
      <c r="CL260" s="384">
        <v>88</v>
      </c>
      <c r="CM260" s="384">
        <v>88</v>
      </c>
      <c r="CN260" s="384">
        <v>88</v>
      </c>
      <c r="CO260" s="384">
        <v>88</v>
      </c>
      <c r="CP260" s="384">
        <v>88</v>
      </c>
      <c r="CQ260" s="384">
        <v>88</v>
      </c>
      <c r="CR260" s="384">
        <v>88</v>
      </c>
      <c r="CS260" s="384">
        <v>88</v>
      </c>
      <c r="CT260" s="384">
        <v>88</v>
      </c>
      <c r="CU260" s="384">
        <v>91</v>
      </c>
      <c r="CV260" s="384">
        <v>94</v>
      </c>
      <c r="CW260" s="384">
        <v>94</v>
      </c>
      <c r="CX260" s="384">
        <v>97</v>
      </c>
      <c r="CY260" s="384">
        <v>100</v>
      </c>
      <c r="CZ260" s="384">
        <v>102</v>
      </c>
      <c r="DA260" s="384">
        <v>122</v>
      </c>
      <c r="DB260" s="384">
        <v>122</v>
      </c>
      <c r="DI260" s="380">
        <v>37</v>
      </c>
      <c r="DJ260" s="384">
        <v>91</v>
      </c>
      <c r="DK260" s="384">
        <v>91</v>
      </c>
      <c r="DL260" s="384">
        <v>91</v>
      </c>
      <c r="DM260" s="384">
        <v>91</v>
      </c>
      <c r="DN260" s="384">
        <v>91</v>
      </c>
      <c r="DO260" s="384">
        <v>91</v>
      </c>
      <c r="DP260" s="384">
        <v>91</v>
      </c>
      <c r="DQ260" s="384">
        <v>91</v>
      </c>
      <c r="DR260" s="384">
        <v>91</v>
      </c>
      <c r="DS260" s="384">
        <v>91</v>
      </c>
      <c r="DT260" s="384">
        <v>91</v>
      </c>
      <c r="DU260" s="384">
        <v>91</v>
      </c>
      <c r="DV260" s="384">
        <v>91</v>
      </c>
      <c r="DW260" s="384">
        <v>94</v>
      </c>
      <c r="DX260" s="384">
        <v>97</v>
      </c>
      <c r="DY260" s="384">
        <v>100</v>
      </c>
      <c r="DZ260" s="384">
        <v>100</v>
      </c>
      <c r="EA260" s="384">
        <v>102</v>
      </c>
      <c r="EB260" s="384">
        <v>108</v>
      </c>
      <c r="EC260" s="384">
        <v>126</v>
      </c>
      <c r="ED260" s="384">
        <v>126</v>
      </c>
    </row>
    <row r="261" spans="1:134" x14ac:dyDescent="0.15">
      <c r="A261" s="380">
        <v>38</v>
      </c>
      <c r="B261" s="384">
        <v>88</v>
      </c>
      <c r="C261" s="384">
        <v>88</v>
      </c>
      <c r="D261" s="384">
        <v>88</v>
      </c>
      <c r="E261" s="384">
        <v>88</v>
      </c>
      <c r="F261" s="384">
        <v>88</v>
      </c>
      <c r="G261" s="384">
        <v>88</v>
      </c>
      <c r="H261" s="384">
        <v>88</v>
      </c>
      <c r="I261" s="384">
        <v>88</v>
      </c>
      <c r="J261" s="384">
        <v>88</v>
      </c>
      <c r="K261" s="384">
        <v>88</v>
      </c>
      <c r="L261" s="384">
        <v>88</v>
      </c>
      <c r="M261" s="384">
        <v>88</v>
      </c>
      <c r="N261" s="384">
        <v>88</v>
      </c>
      <c r="O261" s="384">
        <v>88</v>
      </c>
      <c r="P261" s="384">
        <v>91</v>
      </c>
      <c r="Q261" s="384">
        <v>91</v>
      </c>
      <c r="R261" s="384">
        <v>94</v>
      </c>
      <c r="S261" s="384">
        <v>97</v>
      </c>
      <c r="T261" s="384">
        <v>100</v>
      </c>
      <c r="U261" s="384">
        <v>118</v>
      </c>
      <c r="V261" s="384">
        <v>118</v>
      </c>
      <c r="AC261" s="380">
        <v>38</v>
      </c>
      <c r="AD261" s="384">
        <v>88</v>
      </c>
      <c r="AE261" s="384">
        <v>88</v>
      </c>
      <c r="AF261" s="384">
        <v>88</v>
      </c>
      <c r="AG261" s="384">
        <v>88</v>
      </c>
      <c r="AH261" s="384">
        <v>88</v>
      </c>
      <c r="AI261" s="384">
        <v>88</v>
      </c>
      <c r="AJ261" s="384">
        <v>88</v>
      </c>
      <c r="AK261" s="384">
        <v>88</v>
      </c>
      <c r="AL261" s="384">
        <v>88</v>
      </c>
      <c r="AM261" s="384">
        <v>88</v>
      </c>
      <c r="AN261" s="384">
        <v>88</v>
      </c>
      <c r="AO261" s="384">
        <v>88</v>
      </c>
      <c r="AP261" s="384">
        <v>88</v>
      </c>
      <c r="AQ261" s="384">
        <v>91</v>
      </c>
      <c r="AR261" s="384">
        <v>91</v>
      </c>
      <c r="AS261" s="384">
        <v>94</v>
      </c>
      <c r="AT261" s="384">
        <v>94</v>
      </c>
      <c r="AU261" s="384">
        <v>97</v>
      </c>
      <c r="AV261" s="384">
        <v>102</v>
      </c>
      <c r="AW261" s="384">
        <v>119</v>
      </c>
      <c r="AX261" s="384">
        <v>119</v>
      </c>
      <c r="BE261" s="380">
        <v>38</v>
      </c>
      <c r="BF261" s="384">
        <v>88</v>
      </c>
      <c r="BG261" s="384">
        <v>88</v>
      </c>
      <c r="BH261" s="384">
        <v>88</v>
      </c>
      <c r="BI261" s="384">
        <v>88</v>
      </c>
      <c r="BJ261" s="384">
        <v>88</v>
      </c>
      <c r="BK261" s="384">
        <v>88</v>
      </c>
      <c r="BL261" s="384">
        <v>88</v>
      </c>
      <c r="BM261" s="384">
        <v>88</v>
      </c>
      <c r="BN261" s="384">
        <v>88</v>
      </c>
      <c r="BO261" s="384">
        <v>88</v>
      </c>
      <c r="BP261" s="384">
        <v>88</v>
      </c>
      <c r="BQ261" s="384">
        <v>88</v>
      </c>
      <c r="BR261" s="384">
        <v>88</v>
      </c>
      <c r="BS261" s="384">
        <v>91</v>
      </c>
      <c r="BT261" s="384">
        <v>94</v>
      </c>
      <c r="BU261" s="384">
        <v>94</v>
      </c>
      <c r="BV261" s="384">
        <v>94</v>
      </c>
      <c r="BW261" s="384">
        <v>100</v>
      </c>
      <c r="BX261" s="384">
        <v>102</v>
      </c>
      <c r="BY261" s="384">
        <v>121</v>
      </c>
      <c r="BZ261" s="384">
        <v>121</v>
      </c>
      <c r="CG261" s="380">
        <v>38</v>
      </c>
      <c r="CH261" s="384">
        <v>88</v>
      </c>
      <c r="CI261" s="384">
        <v>88</v>
      </c>
      <c r="CJ261" s="384">
        <v>88</v>
      </c>
      <c r="CK261" s="384">
        <v>88</v>
      </c>
      <c r="CL261" s="384">
        <v>88</v>
      </c>
      <c r="CM261" s="384">
        <v>88</v>
      </c>
      <c r="CN261" s="384">
        <v>88</v>
      </c>
      <c r="CO261" s="384">
        <v>88</v>
      </c>
      <c r="CP261" s="384">
        <v>88</v>
      </c>
      <c r="CQ261" s="384">
        <v>88</v>
      </c>
      <c r="CR261" s="384">
        <v>88</v>
      </c>
      <c r="CS261" s="384">
        <v>88</v>
      </c>
      <c r="CT261" s="384">
        <v>88</v>
      </c>
      <c r="CU261" s="384">
        <v>91</v>
      </c>
      <c r="CV261" s="384">
        <v>94</v>
      </c>
      <c r="CW261" s="384">
        <v>94</v>
      </c>
      <c r="CX261" s="384">
        <v>97</v>
      </c>
      <c r="CY261" s="384">
        <v>100</v>
      </c>
      <c r="CZ261" s="384">
        <v>102</v>
      </c>
      <c r="DA261" s="384">
        <v>122</v>
      </c>
      <c r="DB261" s="384">
        <v>122</v>
      </c>
      <c r="DI261" s="380">
        <v>38</v>
      </c>
      <c r="DJ261" s="384">
        <v>91</v>
      </c>
      <c r="DK261" s="384">
        <v>91</v>
      </c>
      <c r="DL261" s="384">
        <v>91</v>
      </c>
      <c r="DM261" s="384">
        <v>91</v>
      </c>
      <c r="DN261" s="384">
        <v>91</v>
      </c>
      <c r="DO261" s="384">
        <v>91</v>
      </c>
      <c r="DP261" s="384">
        <v>91</v>
      </c>
      <c r="DQ261" s="384">
        <v>91</v>
      </c>
      <c r="DR261" s="384">
        <v>91</v>
      </c>
      <c r="DS261" s="384">
        <v>91</v>
      </c>
      <c r="DT261" s="384">
        <v>91</v>
      </c>
      <c r="DU261" s="384">
        <v>91</v>
      </c>
      <c r="DV261" s="384">
        <v>91</v>
      </c>
      <c r="DW261" s="384">
        <v>94</v>
      </c>
      <c r="DX261" s="384">
        <v>97</v>
      </c>
      <c r="DY261" s="384">
        <v>100</v>
      </c>
      <c r="DZ261" s="384">
        <v>100</v>
      </c>
      <c r="EA261" s="384">
        <v>102</v>
      </c>
      <c r="EB261" s="384">
        <v>108</v>
      </c>
      <c r="EC261" s="384">
        <v>126</v>
      </c>
      <c r="ED261" s="384">
        <v>126</v>
      </c>
    </row>
    <row r="262" spans="1:134" x14ac:dyDescent="0.15">
      <c r="A262" s="380">
        <v>39</v>
      </c>
      <c r="B262" s="384">
        <v>91</v>
      </c>
      <c r="C262" s="384">
        <v>91</v>
      </c>
      <c r="D262" s="384">
        <v>91</v>
      </c>
      <c r="E262" s="384">
        <v>91</v>
      </c>
      <c r="F262" s="384">
        <v>91</v>
      </c>
      <c r="G262" s="384">
        <v>91</v>
      </c>
      <c r="H262" s="384">
        <v>91</v>
      </c>
      <c r="I262" s="384">
        <v>91</v>
      </c>
      <c r="J262" s="384">
        <v>91</v>
      </c>
      <c r="K262" s="384">
        <v>91</v>
      </c>
      <c r="L262" s="384">
        <v>91</v>
      </c>
      <c r="M262" s="384">
        <v>91</v>
      </c>
      <c r="N262" s="384">
        <v>91</v>
      </c>
      <c r="O262" s="384">
        <v>91</v>
      </c>
      <c r="P262" s="384">
        <v>94</v>
      </c>
      <c r="Q262" s="384">
        <v>94</v>
      </c>
      <c r="R262" s="384">
        <v>97</v>
      </c>
      <c r="S262" s="384">
        <v>100</v>
      </c>
      <c r="T262" s="384">
        <v>102</v>
      </c>
      <c r="U262" s="384">
        <v>122</v>
      </c>
      <c r="V262" s="384">
        <v>122</v>
      </c>
      <c r="AC262" s="380">
        <v>39</v>
      </c>
      <c r="AD262" s="384">
        <v>91</v>
      </c>
      <c r="AE262" s="384">
        <v>91</v>
      </c>
      <c r="AF262" s="384">
        <v>91</v>
      </c>
      <c r="AG262" s="384">
        <v>91</v>
      </c>
      <c r="AH262" s="384">
        <v>91</v>
      </c>
      <c r="AI262" s="384">
        <v>91</v>
      </c>
      <c r="AJ262" s="384">
        <v>91</v>
      </c>
      <c r="AK262" s="384">
        <v>91</v>
      </c>
      <c r="AL262" s="384">
        <v>91</v>
      </c>
      <c r="AM262" s="384">
        <v>91</v>
      </c>
      <c r="AN262" s="384">
        <v>91</v>
      </c>
      <c r="AO262" s="384">
        <v>91</v>
      </c>
      <c r="AP262" s="384">
        <v>91</v>
      </c>
      <c r="AQ262" s="384">
        <v>94</v>
      </c>
      <c r="AR262" s="384">
        <v>94</v>
      </c>
      <c r="AS262" s="384">
        <v>97</v>
      </c>
      <c r="AT262" s="384">
        <v>97</v>
      </c>
      <c r="AU262" s="384">
        <v>100</v>
      </c>
      <c r="AV262" s="384">
        <v>104</v>
      </c>
      <c r="AW262" s="384">
        <v>124</v>
      </c>
      <c r="AX262" s="384">
        <v>124</v>
      </c>
      <c r="BE262" s="380">
        <v>39</v>
      </c>
      <c r="BF262" s="384">
        <v>91</v>
      </c>
      <c r="BG262" s="384">
        <v>91</v>
      </c>
      <c r="BH262" s="384">
        <v>91</v>
      </c>
      <c r="BI262" s="384">
        <v>91</v>
      </c>
      <c r="BJ262" s="384">
        <v>91</v>
      </c>
      <c r="BK262" s="384">
        <v>91</v>
      </c>
      <c r="BL262" s="384">
        <v>91</v>
      </c>
      <c r="BM262" s="384">
        <v>91</v>
      </c>
      <c r="BN262" s="384">
        <v>91</v>
      </c>
      <c r="BO262" s="384">
        <v>91</v>
      </c>
      <c r="BP262" s="384">
        <v>91</v>
      </c>
      <c r="BQ262" s="384">
        <v>91</v>
      </c>
      <c r="BR262" s="384">
        <v>91</v>
      </c>
      <c r="BS262" s="384">
        <v>94</v>
      </c>
      <c r="BT262" s="384">
        <v>97</v>
      </c>
      <c r="BU262" s="384">
        <v>97</v>
      </c>
      <c r="BV262" s="384">
        <v>97</v>
      </c>
      <c r="BW262" s="384">
        <v>102</v>
      </c>
      <c r="BX262" s="384">
        <v>104</v>
      </c>
      <c r="BY262" s="384">
        <v>126</v>
      </c>
      <c r="BZ262" s="384">
        <v>126</v>
      </c>
      <c r="CG262" s="380">
        <v>39</v>
      </c>
      <c r="CH262" s="384">
        <v>91</v>
      </c>
      <c r="CI262" s="384">
        <v>91</v>
      </c>
      <c r="CJ262" s="384">
        <v>91</v>
      </c>
      <c r="CK262" s="384">
        <v>91</v>
      </c>
      <c r="CL262" s="384">
        <v>91</v>
      </c>
      <c r="CM262" s="384">
        <v>91</v>
      </c>
      <c r="CN262" s="384">
        <v>91</v>
      </c>
      <c r="CO262" s="384">
        <v>91</v>
      </c>
      <c r="CP262" s="384">
        <v>91</v>
      </c>
      <c r="CQ262" s="384">
        <v>91</v>
      </c>
      <c r="CR262" s="384">
        <v>91</v>
      </c>
      <c r="CS262" s="384">
        <v>91</v>
      </c>
      <c r="CT262" s="384">
        <v>91</v>
      </c>
      <c r="CU262" s="384">
        <v>94</v>
      </c>
      <c r="CV262" s="384">
        <v>97</v>
      </c>
      <c r="CW262" s="384">
        <v>97</v>
      </c>
      <c r="CX262" s="384">
        <v>100</v>
      </c>
      <c r="CY262" s="384">
        <v>102</v>
      </c>
      <c r="CZ262" s="384">
        <v>104</v>
      </c>
      <c r="DA262" s="384">
        <v>127</v>
      </c>
      <c r="DB262" s="384">
        <v>127</v>
      </c>
      <c r="DI262" s="380">
        <v>39</v>
      </c>
      <c r="DJ262" s="384">
        <v>94</v>
      </c>
      <c r="DK262" s="384">
        <v>94</v>
      </c>
      <c r="DL262" s="384">
        <v>94</v>
      </c>
      <c r="DM262" s="384">
        <v>94</v>
      </c>
      <c r="DN262" s="384">
        <v>94</v>
      </c>
      <c r="DO262" s="384">
        <v>94</v>
      </c>
      <c r="DP262" s="384">
        <v>94</v>
      </c>
      <c r="DQ262" s="384">
        <v>94</v>
      </c>
      <c r="DR262" s="384">
        <v>94</v>
      </c>
      <c r="DS262" s="384">
        <v>94</v>
      </c>
      <c r="DT262" s="384">
        <v>94</v>
      </c>
      <c r="DU262" s="384">
        <v>94</v>
      </c>
      <c r="DV262" s="384">
        <v>94</v>
      </c>
      <c r="DW262" s="384">
        <v>97</v>
      </c>
      <c r="DX262" s="384">
        <v>100</v>
      </c>
      <c r="DY262" s="384">
        <v>102</v>
      </c>
      <c r="DZ262" s="384">
        <v>102</v>
      </c>
      <c r="EA262" s="384">
        <v>104</v>
      </c>
      <c r="EB262" s="384">
        <v>112</v>
      </c>
      <c r="EC262" s="384">
        <v>131</v>
      </c>
      <c r="ED262" s="384">
        <v>131</v>
      </c>
    </row>
    <row r="263" spans="1:134" x14ac:dyDescent="0.15">
      <c r="A263" s="380">
        <v>40</v>
      </c>
      <c r="B263" s="384">
        <v>91</v>
      </c>
      <c r="C263" s="384">
        <v>91</v>
      </c>
      <c r="D263" s="384">
        <v>91</v>
      </c>
      <c r="E263" s="384">
        <v>91</v>
      </c>
      <c r="F263" s="384">
        <v>91</v>
      </c>
      <c r="G263" s="384">
        <v>91</v>
      </c>
      <c r="H263" s="384">
        <v>91</v>
      </c>
      <c r="I263" s="384">
        <v>91</v>
      </c>
      <c r="J263" s="384">
        <v>91</v>
      </c>
      <c r="K263" s="384">
        <v>91</v>
      </c>
      <c r="L263" s="384">
        <v>91</v>
      </c>
      <c r="M263" s="384">
        <v>91</v>
      </c>
      <c r="N263" s="384">
        <v>91</v>
      </c>
      <c r="O263" s="384">
        <v>91</v>
      </c>
      <c r="P263" s="384">
        <v>94</v>
      </c>
      <c r="Q263" s="384">
        <v>94</v>
      </c>
      <c r="R263" s="384">
        <v>97</v>
      </c>
      <c r="S263" s="384">
        <v>100</v>
      </c>
      <c r="T263" s="384">
        <v>102</v>
      </c>
      <c r="U263" s="384">
        <v>122</v>
      </c>
      <c r="V263" s="384">
        <v>122</v>
      </c>
      <c r="AC263" s="380">
        <v>40</v>
      </c>
      <c r="AD263" s="384">
        <v>91</v>
      </c>
      <c r="AE263" s="384">
        <v>91</v>
      </c>
      <c r="AF263" s="384">
        <v>91</v>
      </c>
      <c r="AG263" s="384">
        <v>91</v>
      </c>
      <c r="AH263" s="384">
        <v>91</v>
      </c>
      <c r="AI263" s="384">
        <v>91</v>
      </c>
      <c r="AJ263" s="384">
        <v>91</v>
      </c>
      <c r="AK263" s="384">
        <v>91</v>
      </c>
      <c r="AL263" s="384">
        <v>91</v>
      </c>
      <c r="AM263" s="384">
        <v>91</v>
      </c>
      <c r="AN263" s="384">
        <v>91</v>
      </c>
      <c r="AO263" s="384">
        <v>91</v>
      </c>
      <c r="AP263" s="384">
        <v>91</v>
      </c>
      <c r="AQ263" s="384">
        <v>94</v>
      </c>
      <c r="AR263" s="384">
        <v>94</v>
      </c>
      <c r="AS263" s="384">
        <v>97</v>
      </c>
      <c r="AT263" s="384">
        <v>97</v>
      </c>
      <c r="AU263" s="384">
        <v>100</v>
      </c>
      <c r="AV263" s="384">
        <v>104</v>
      </c>
      <c r="AW263" s="384">
        <v>124</v>
      </c>
      <c r="AX263" s="384">
        <v>124</v>
      </c>
      <c r="BE263" s="380">
        <v>40</v>
      </c>
      <c r="BF263" s="384">
        <v>91</v>
      </c>
      <c r="BG263" s="384">
        <v>91</v>
      </c>
      <c r="BH263" s="384">
        <v>91</v>
      </c>
      <c r="BI263" s="384">
        <v>91</v>
      </c>
      <c r="BJ263" s="384">
        <v>91</v>
      </c>
      <c r="BK263" s="384">
        <v>91</v>
      </c>
      <c r="BL263" s="384">
        <v>91</v>
      </c>
      <c r="BM263" s="384">
        <v>91</v>
      </c>
      <c r="BN263" s="384">
        <v>91</v>
      </c>
      <c r="BO263" s="384">
        <v>91</v>
      </c>
      <c r="BP263" s="384">
        <v>91</v>
      </c>
      <c r="BQ263" s="384">
        <v>91</v>
      </c>
      <c r="BR263" s="384">
        <v>91</v>
      </c>
      <c r="BS263" s="384">
        <v>94</v>
      </c>
      <c r="BT263" s="384">
        <v>97</v>
      </c>
      <c r="BU263" s="384">
        <v>97</v>
      </c>
      <c r="BV263" s="384">
        <v>97</v>
      </c>
      <c r="BW263" s="384">
        <v>102</v>
      </c>
      <c r="BX263" s="384">
        <v>104</v>
      </c>
      <c r="BY263" s="384">
        <v>126</v>
      </c>
      <c r="BZ263" s="384">
        <v>126</v>
      </c>
      <c r="CG263" s="380">
        <v>40</v>
      </c>
      <c r="CH263" s="384">
        <v>94</v>
      </c>
      <c r="CI263" s="384">
        <v>94</v>
      </c>
      <c r="CJ263" s="384">
        <v>94</v>
      </c>
      <c r="CK263" s="384">
        <v>94</v>
      </c>
      <c r="CL263" s="384">
        <v>94</v>
      </c>
      <c r="CM263" s="384">
        <v>94</v>
      </c>
      <c r="CN263" s="384">
        <v>94</v>
      </c>
      <c r="CO263" s="384">
        <v>94</v>
      </c>
      <c r="CP263" s="384">
        <v>94</v>
      </c>
      <c r="CQ263" s="384">
        <v>94</v>
      </c>
      <c r="CR263" s="384">
        <v>94</v>
      </c>
      <c r="CS263" s="384">
        <v>94</v>
      </c>
      <c r="CT263" s="384">
        <v>94</v>
      </c>
      <c r="CU263" s="384">
        <v>97</v>
      </c>
      <c r="CV263" s="384">
        <v>100</v>
      </c>
      <c r="CW263" s="384">
        <v>100</v>
      </c>
      <c r="CX263" s="384">
        <v>102</v>
      </c>
      <c r="CY263" s="384">
        <v>104</v>
      </c>
      <c r="CZ263" s="384">
        <v>108</v>
      </c>
      <c r="DA263" s="384">
        <v>130</v>
      </c>
      <c r="DB263" s="384">
        <v>130</v>
      </c>
      <c r="DI263" s="380">
        <v>40</v>
      </c>
      <c r="DJ263" s="384">
        <v>94</v>
      </c>
      <c r="DK263" s="384">
        <v>94</v>
      </c>
      <c r="DL263" s="384">
        <v>94</v>
      </c>
      <c r="DM263" s="384">
        <v>94</v>
      </c>
      <c r="DN263" s="384">
        <v>94</v>
      </c>
      <c r="DO263" s="384">
        <v>94</v>
      </c>
      <c r="DP263" s="384">
        <v>94</v>
      </c>
      <c r="DQ263" s="384">
        <v>94</v>
      </c>
      <c r="DR263" s="384">
        <v>94</v>
      </c>
      <c r="DS263" s="384">
        <v>94</v>
      </c>
      <c r="DT263" s="384">
        <v>94</v>
      </c>
      <c r="DU263" s="384">
        <v>94</v>
      </c>
      <c r="DV263" s="384">
        <v>94</v>
      </c>
      <c r="DW263" s="384">
        <v>97</v>
      </c>
      <c r="DX263" s="384">
        <v>100</v>
      </c>
      <c r="DY263" s="384">
        <v>102</v>
      </c>
      <c r="DZ263" s="384">
        <v>102</v>
      </c>
      <c r="EA263" s="384">
        <v>104</v>
      </c>
      <c r="EB263" s="384">
        <v>112</v>
      </c>
      <c r="EC263" s="384">
        <v>131</v>
      </c>
      <c r="ED263" s="384">
        <v>131</v>
      </c>
    </row>
    <row r="264" spans="1:134" x14ac:dyDescent="0.15">
      <c r="A264" s="380">
        <v>41</v>
      </c>
      <c r="B264" s="384">
        <v>94</v>
      </c>
      <c r="C264" s="384">
        <v>94</v>
      </c>
      <c r="D264" s="384">
        <v>94</v>
      </c>
      <c r="E264" s="384">
        <v>94</v>
      </c>
      <c r="F264" s="384">
        <v>94</v>
      </c>
      <c r="G264" s="384">
        <v>94</v>
      </c>
      <c r="H264" s="384">
        <v>94</v>
      </c>
      <c r="I264" s="384">
        <v>94</v>
      </c>
      <c r="J264" s="384">
        <v>94</v>
      </c>
      <c r="K264" s="384">
        <v>94</v>
      </c>
      <c r="L264" s="384">
        <v>94</v>
      </c>
      <c r="M264" s="384">
        <v>94</v>
      </c>
      <c r="N264" s="384">
        <v>94</v>
      </c>
      <c r="O264" s="384">
        <v>94</v>
      </c>
      <c r="P264" s="384">
        <v>97</v>
      </c>
      <c r="Q264" s="384">
        <v>97</v>
      </c>
      <c r="R264" s="384">
        <v>100</v>
      </c>
      <c r="S264" s="384">
        <v>102</v>
      </c>
      <c r="T264" s="384">
        <v>104</v>
      </c>
      <c r="U264" s="384">
        <v>125</v>
      </c>
      <c r="V264" s="384">
        <v>125</v>
      </c>
      <c r="AC264" s="380">
        <v>41</v>
      </c>
      <c r="AD264" s="384">
        <v>94</v>
      </c>
      <c r="AE264" s="384">
        <v>94</v>
      </c>
      <c r="AF264" s="384">
        <v>94</v>
      </c>
      <c r="AG264" s="384">
        <v>94</v>
      </c>
      <c r="AH264" s="384">
        <v>94</v>
      </c>
      <c r="AI264" s="384">
        <v>94</v>
      </c>
      <c r="AJ264" s="384">
        <v>94</v>
      </c>
      <c r="AK264" s="384">
        <v>94</v>
      </c>
      <c r="AL264" s="384">
        <v>94</v>
      </c>
      <c r="AM264" s="384">
        <v>94</v>
      </c>
      <c r="AN264" s="384">
        <v>94</v>
      </c>
      <c r="AO264" s="384">
        <v>94</v>
      </c>
      <c r="AP264" s="384">
        <v>94</v>
      </c>
      <c r="AQ264" s="384">
        <v>97</v>
      </c>
      <c r="AR264" s="384">
        <v>97</v>
      </c>
      <c r="AS264" s="384">
        <v>100</v>
      </c>
      <c r="AT264" s="384">
        <v>100</v>
      </c>
      <c r="AU264" s="384">
        <v>102</v>
      </c>
      <c r="AV264" s="384">
        <v>108</v>
      </c>
      <c r="AW264" s="384">
        <v>127</v>
      </c>
      <c r="AX264" s="384">
        <v>127</v>
      </c>
      <c r="BE264" s="380">
        <v>41</v>
      </c>
      <c r="BF264" s="384">
        <v>94</v>
      </c>
      <c r="BG264" s="384">
        <v>94</v>
      </c>
      <c r="BH264" s="384">
        <v>94</v>
      </c>
      <c r="BI264" s="384">
        <v>94</v>
      </c>
      <c r="BJ264" s="384">
        <v>94</v>
      </c>
      <c r="BK264" s="384">
        <v>94</v>
      </c>
      <c r="BL264" s="384">
        <v>94</v>
      </c>
      <c r="BM264" s="384">
        <v>94</v>
      </c>
      <c r="BN264" s="384">
        <v>94</v>
      </c>
      <c r="BO264" s="384">
        <v>94</v>
      </c>
      <c r="BP264" s="384">
        <v>94</v>
      </c>
      <c r="BQ264" s="384">
        <v>94</v>
      </c>
      <c r="BR264" s="384">
        <v>94</v>
      </c>
      <c r="BS264" s="384">
        <v>97</v>
      </c>
      <c r="BT264" s="384">
        <v>100</v>
      </c>
      <c r="BU264" s="384">
        <v>100</v>
      </c>
      <c r="BV264" s="384">
        <v>100</v>
      </c>
      <c r="BW264" s="384">
        <v>104</v>
      </c>
      <c r="BX264" s="384">
        <v>108</v>
      </c>
      <c r="BY264" s="384">
        <v>129</v>
      </c>
      <c r="BZ264" s="384">
        <v>129</v>
      </c>
      <c r="CG264" s="380">
        <v>41</v>
      </c>
      <c r="CH264" s="384">
        <v>97</v>
      </c>
      <c r="CI264" s="384">
        <v>97</v>
      </c>
      <c r="CJ264" s="384">
        <v>97</v>
      </c>
      <c r="CK264" s="384">
        <v>97</v>
      </c>
      <c r="CL264" s="384">
        <v>97</v>
      </c>
      <c r="CM264" s="384">
        <v>97</v>
      </c>
      <c r="CN264" s="384">
        <v>97</v>
      </c>
      <c r="CO264" s="384">
        <v>97</v>
      </c>
      <c r="CP264" s="384">
        <v>97</v>
      </c>
      <c r="CQ264" s="384">
        <v>97</v>
      </c>
      <c r="CR264" s="384">
        <v>97</v>
      </c>
      <c r="CS264" s="384">
        <v>97</v>
      </c>
      <c r="CT264" s="384">
        <v>97</v>
      </c>
      <c r="CU264" s="384">
        <v>100</v>
      </c>
      <c r="CV264" s="384">
        <v>102</v>
      </c>
      <c r="CW264" s="384">
        <v>102</v>
      </c>
      <c r="CX264" s="384">
        <v>104</v>
      </c>
      <c r="CY264" s="384">
        <v>108</v>
      </c>
      <c r="CZ264" s="384">
        <v>112</v>
      </c>
      <c r="DA264" s="384">
        <v>134</v>
      </c>
      <c r="DB264" s="384">
        <v>134</v>
      </c>
      <c r="DI264" s="380">
        <v>41</v>
      </c>
      <c r="DJ264" s="384">
        <v>97</v>
      </c>
      <c r="DK264" s="384">
        <v>97</v>
      </c>
      <c r="DL264" s="384">
        <v>97</v>
      </c>
      <c r="DM264" s="384">
        <v>97</v>
      </c>
      <c r="DN264" s="384">
        <v>97</v>
      </c>
      <c r="DO264" s="384">
        <v>97</v>
      </c>
      <c r="DP264" s="384">
        <v>97</v>
      </c>
      <c r="DQ264" s="384">
        <v>97</v>
      </c>
      <c r="DR264" s="384">
        <v>97</v>
      </c>
      <c r="DS264" s="384">
        <v>97</v>
      </c>
      <c r="DT264" s="384">
        <v>97</v>
      </c>
      <c r="DU264" s="384">
        <v>97</v>
      </c>
      <c r="DV264" s="384">
        <v>97</v>
      </c>
      <c r="DW264" s="384">
        <v>100</v>
      </c>
      <c r="DX264" s="384">
        <v>102</v>
      </c>
      <c r="DY264" s="384">
        <v>104</v>
      </c>
      <c r="DZ264" s="384">
        <v>104</v>
      </c>
      <c r="EA264" s="384">
        <v>108</v>
      </c>
      <c r="EB264" s="384">
        <v>115</v>
      </c>
      <c r="EC264" s="384">
        <v>134</v>
      </c>
      <c r="ED264" s="384">
        <v>134</v>
      </c>
    </row>
    <row r="265" spans="1:134" x14ac:dyDescent="0.15">
      <c r="A265" s="380">
        <v>42</v>
      </c>
      <c r="B265" s="384">
        <v>97</v>
      </c>
      <c r="C265" s="384">
        <v>97</v>
      </c>
      <c r="D265" s="384">
        <v>97</v>
      </c>
      <c r="E265" s="384">
        <v>97</v>
      </c>
      <c r="F265" s="384">
        <v>97</v>
      </c>
      <c r="G265" s="384">
        <v>97</v>
      </c>
      <c r="H265" s="384">
        <v>97</v>
      </c>
      <c r="I265" s="384">
        <v>97</v>
      </c>
      <c r="J265" s="384">
        <v>97</v>
      </c>
      <c r="K265" s="384">
        <v>97</v>
      </c>
      <c r="L265" s="384">
        <v>97</v>
      </c>
      <c r="M265" s="384">
        <v>97</v>
      </c>
      <c r="N265" s="384">
        <v>97</v>
      </c>
      <c r="O265" s="384">
        <v>97</v>
      </c>
      <c r="P265" s="384">
        <v>100</v>
      </c>
      <c r="Q265" s="384">
        <v>100</v>
      </c>
      <c r="R265" s="384">
        <v>102</v>
      </c>
      <c r="S265" s="384">
        <v>104</v>
      </c>
      <c r="T265" s="384">
        <v>108</v>
      </c>
      <c r="U265" s="384">
        <v>129</v>
      </c>
      <c r="V265" s="384">
        <v>129</v>
      </c>
      <c r="AC265" s="380">
        <v>42</v>
      </c>
      <c r="AD265" s="384">
        <v>97</v>
      </c>
      <c r="AE265" s="384">
        <v>97</v>
      </c>
      <c r="AF265" s="384">
        <v>97</v>
      </c>
      <c r="AG265" s="384">
        <v>97</v>
      </c>
      <c r="AH265" s="384">
        <v>97</v>
      </c>
      <c r="AI265" s="384">
        <v>97</v>
      </c>
      <c r="AJ265" s="384">
        <v>97</v>
      </c>
      <c r="AK265" s="384">
        <v>97</v>
      </c>
      <c r="AL265" s="384">
        <v>97</v>
      </c>
      <c r="AM265" s="384">
        <v>97</v>
      </c>
      <c r="AN265" s="384">
        <v>97</v>
      </c>
      <c r="AO265" s="384">
        <v>97</v>
      </c>
      <c r="AP265" s="384">
        <v>97</v>
      </c>
      <c r="AQ265" s="384">
        <v>100</v>
      </c>
      <c r="AR265" s="384">
        <v>100</v>
      </c>
      <c r="AS265" s="384">
        <v>102</v>
      </c>
      <c r="AT265" s="384">
        <v>102</v>
      </c>
      <c r="AU265" s="384">
        <v>104</v>
      </c>
      <c r="AV265" s="384">
        <v>112</v>
      </c>
      <c r="AW265" s="384">
        <v>131</v>
      </c>
      <c r="AX265" s="384">
        <v>131</v>
      </c>
      <c r="BE265" s="380">
        <v>42</v>
      </c>
      <c r="BF265" s="384">
        <v>97</v>
      </c>
      <c r="BG265" s="384">
        <v>97</v>
      </c>
      <c r="BH265" s="384">
        <v>97</v>
      </c>
      <c r="BI265" s="384">
        <v>97</v>
      </c>
      <c r="BJ265" s="384">
        <v>97</v>
      </c>
      <c r="BK265" s="384">
        <v>97</v>
      </c>
      <c r="BL265" s="384">
        <v>97</v>
      </c>
      <c r="BM265" s="384">
        <v>97</v>
      </c>
      <c r="BN265" s="384">
        <v>97</v>
      </c>
      <c r="BO265" s="384">
        <v>97</v>
      </c>
      <c r="BP265" s="384">
        <v>97</v>
      </c>
      <c r="BQ265" s="384">
        <v>97</v>
      </c>
      <c r="BR265" s="384">
        <v>97</v>
      </c>
      <c r="BS265" s="384">
        <v>100</v>
      </c>
      <c r="BT265" s="384">
        <v>102</v>
      </c>
      <c r="BU265" s="384">
        <v>102</v>
      </c>
      <c r="BV265" s="384">
        <v>102</v>
      </c>
      <c r="BW265" s="384">
        <v>108</v>
      </c>
      <c r="BX265" s="384">
        <v>112</v>
      </c>
      <c r="BY265" s="384">
        <v>133</v>
      </c>
      <c r="BZ265" s="384">
        <v>133</v>
      </c>
      <c r="CG265" s="380">
        <v>42</v>
      </c>
      <c r="CH265" s="384">
        <v>100</v>
      </c>
      <c r="CI265" s="384">
        <v>100</v>
      </c>
      <c r="CJ265" s="384">
        <v>100</v>
      </c>
      <c r="CK265" s="384">
        <v>100</v>
      </c>
      <c r="CL265" s="384">
        <v>100</v>
      </c>
      <c r="CM265" s="384">
        <v>100</v>
      </c>
      <c r="CN265" s="384">
        <v>100</v>
      </c>
      <c r="CO265" s="384">
        <v>100</v>
      </c>
      <c r="CP265" s="384">
        <v>100</v>
      </c>
      <c r="CQ265" s="384">
        <v>100</v>
      </c>
      <c r="CR265" s="384">
        <v>100</v>
      </c>
      <c r="CS265" s="384">
        <v>100</v>
      </c>
      <c r="CT265" s="384">
        <v>100</v>
      </c>
      <c r="CU265" s="384">
        <v>102</v>
      </c>
      <c r="CV265" s="384">
        <v>104</v>
      </c>
      <c r="CW265" s="384">
        <v>104</v>
      </c>
      <c r="CX265" s="384">
        <v>108</v>
      </c>
      <c r="CY265" s="384">
        <v>112</v>
      </c>
      <c r="CZ265" s="384">
        <v>115</v>
      </c>
      <c r="DA265" s="384">
        <v>137</v>
      </c>
      <c r="DB265" s="384">
        <v>137</v>
      </c>
      <c r="DI265" s="380">
        <v>42</v>
      </c>
      <c r="DJ265" s="384">
        <v>100</v>
      </c>
      <c r="DK265" s="384">
        <v>100</v>
      </c>
      <c r="DL265" s="384">
        <v>100</v>
      </c>
      <c r="DM265" s="384">
        <v>100</v>
      </c>
      <c r="DN265" s="384">
        <v>100</v>
      </c>
      <c r="DO265" s="384">
        <v>100</v>
      </c>
      <c r="DP265" s="384">
        <v>100</v>
      </c>
      <c r="DQ265" s="384">
        <v>100</v>
      </c>
      <c r="DR265" s="384">
        <v>100</v>
      </c>
      <c r="DS265" s="384">
        <v>100</v>
      </c>
      <c r="DT265" s="384">
        <v>100</v>
      </c>
      <c r="DU265" s="384">
        <v>100</v>
      </c>
      <c r="DV265" s="384">
        <v>100</v>
      </c>
      <c r="DW265" s="384">
        <v>102</v>
      </c>
      <c r="DX265" s="384">
        <v>104</v>
      </c>
      <c r="DY265" s="384">
        <v>108</v>
      </c>
      <c r="DZ265" s="384">
        <v>108</v>
      </c>
      <c r="EA265" s="384">
        <v>112</v>
      </c>
      <c r="EB265" s="384">
        <v>119</v>
      </c>
      <c r="EC265" s="384">
        <v>137</v>
      </c>
      <c r="ED265" s="384">
        <v>137</v>
      </c>
    </row>
    <row r="267" spans="1:134" x14ac:dyDescent="0.15">
      <c r="A267" s="377" t="s">
        <v>437</v>
      </c>
      <c r="B267" s="377">
        <f>('Standard Tests'!$B$18+'Standard Tests'!$B$20+'Standard Tests'!$B$21)</f>
        <v>23</v>
      </c>
      <c r="E267" s="377" t="s">
        <v>121</v>
      </c>
      <c r="F267" s="377">
        <f>INDEX(B223:V265,MATCH(B267,A223:A265,0),MATCH(B268,B222:V222,0))</f>
        <v>68</v>
      </c>
      <c r="AC267" s="377" t="s">
        <v>437</v>
      </c>
      <c r="AD267" s="377">
        <f>('Standard Tests'!$B$18+'Standard Tests'!$B$20+'Standard Tests'!$B$21)</f>
        <v>23</v>
      </c>
      <c r="AG267" s="377" t="s">
        <v>121</v>
      </c>
      <c r="AH267" s="377">
        <f>INDEX(AD223:AX265,MATCH(AD267,AC223:AC265,0),MATCH(AD268,AD222:AX222,0))</f>
        <v>71</v>
      </c>
      <c r="BE267" s="377" t="s">
        <v>437</v>
      </c>
      <c r="BF267" s="377">
        <f>('Standard Tests'!$B$18+'Standard Tests'!$B$20+'Standard Tests'!$B$21)</f>
        <v>23</v>
      </c>
      <c r="BI267" s="377" t="s">
        <v>121</v>
      </c>
      <c r="BJ267" s="377">
        <f>INDEX(BF223:BZ265,MATCH(BF267,BE223:BE265,0),MATCH(BF268,BF222:BZ222,0))</f>
        <v>75</v>
      </c>
      <c r="CG267" s="377" t="s">
        <v>437</v>
      </c>
      <c r="CH267" s="377">
        <f>('Standard Tests'!$B$18+'Standard Tests'!$B$20+'Standard Tests'!$B$21)</f>
        <v>23</v>
      </c>
      <c r="CK267" s="377" t="s">
        <v>121</v>
      </c>
      <c r="CL267" s="377">
        <f>INDEX(CH223:DB265,MATCH(CH267,CG223:CG265,0),MATCH(CH268,CH222:DB222,0))</f>
        <v>78</v>
      </c>
      <c r="DI267" s="377" t="s">
        <v>437</v>
      </c>
      <c r="DJ267" s="377">
        <f>('Standard Tests'!$B$18+'Standard Tests'!$B$20+'Standard Tests'!$B$21)</f>
        <v>23</v>
      </c>
      <c r="DM267" s="377" t="s">
        <v>121</v>
      </c>
      <c r="DN267" s="377">
        <f>INDEX(DJ223:ED265,MATCH(DJ267,DI223:DI265,0),MATCH(DJ268,DJ222:ED222,0))</f>
        <v>84</v>
      </c>
    </row>
    <row r="268" spans="1:134" x14ac:dyDescent="0.15">
      <c r="A268" s="377" t="s">
        <v>436</v>
      </c>
      <c r="B268" s="377">
        <f>'Standard Tests'!$B$19</f>
        <v>15</v>
      </c>
      <c r="AC268" s="377" t="s">
        <v>436</v>
      </c>
      <c r="AD268" s="377">
        <f>'Standard Tests'!$B$19</f>
        <v>15</v>
      </c>
      <c r="BE268" s="377" t="s">
        <v>436</v>
      </c>
      <c r="BF268" s="377">
        <f>'Standard Tests'!$B$19</f>
        <v>15</v>
      </c>
      <c r="CG268" s="377" t="s">
        <v>436</v>
      </c>
      <c r="CH268" s="377">
        <f>'Standard Tests'!$B$19</f>
        <v>15</v>
      </c>
      <c r="DI268" s="377" t="s">
        <v>436</v>
      </c>
      <c r="DJ268" s="377">
        <f>'Standard Tests'!$B$19</f>
        <v>15</v>
      </c>
    </row>
    <row r="271" spans="1:134" x14ac:dyDescent="0.15">
      <c r="A271" s="377" t="s">
        <v>441</v>
      </c>
      <c r="B271" s="377" t="str">
        <f>'DNE2'!C1</f>
        <v>60-69</v>
      </c>
    </row>
    <row r="273" spans="1:6" x14ac:dyDescent="0.15">
      <c r="B273" s="377" t="s">
        <v>263</v>
      </c>
      <c r="C273" s="377" t="s">
        <v>264</v>
      </c>
      <c r="D273" s="377" t="s">
        <v>265</v>
      </c>
      <c r="E273" s="377" t="s">
        <v>266</v>
      </c>
      <c r="F273" s="377" t="s">
        <v>267</v>
      </c>
    </row>
    <row r="274" spans="1:6" x14ac:dyDescent="0.15">
      <c r="A274" s="377" t="s">
        <v>77</v>
      </c>
      <c r="B274" s="377">
        <f>F51</f>
        <v>109</v>
      </c>
      <c r="C274" s="377">
        <f>AH51</f>
        <v>109</v>
      </c>
      <c r="D274" s="377">
        <f>BJ51</f>
        <v>109</v>
      </c>
      <c r="E274" s="377">
        <f>CL51</f>
        <v>109</v>
      </c>
      <c r="F274" s="377">
        <f>DN51</f>
        <v>114</v>
      </c>
    </row>
    <row r="275" spans="1:6" x14ac:dyDescent="0.15">
      <c r="A275" s="377" t="s">
        <v>438</v>
      </c>
      <c r="B275" s="377">
        <f>F78</f>
        <v>50</v>
      </c>
      <c r="C275" s="377">
        <f>AH78</f>
        <v>50</v>
      </c>
      <c r="D275" s="377">
        <f>BJ78</f>
        <v>50</v>
      </c>
      <c r="E275" s="377">
        <f>CL78</f>
        <v>50</v>
      </c>
      <c r="F275" s="377">
        <f>DN78</f>
        <v>50</v>
      </c>
    </row>
    <row r="276" spans="1:6" x14ac:dyDescent="0.15">
      <c r="A276" s="377" t="s">
        <v>439</v>
      </c>
      <c r="B276" s="377">
        <f>F121</f>
        <v>60</v>
      </c>
      <c r="C276" s="377">
        <f>AH121</f>
        <v>60</v>
      </c>
      <c r="D276" s="377">
        <f>BJ121</f>
        <v>60</v>
      </c>
      <c r="E276" s="377">
        <f>CL121</f>
        <v>60</v>
      </c>
      <c r="F276" s="377">
        <f>DN121</f>
        <v>68</v>
      </c>
    </row>
    <row r="277" spans="1:6" x14ac:dyDescent="0.15">
      <c r="A277" s="377" t="s">
        <v>440</v>
      </c>
      <c r="B277" s="377">
        <f>F217</f>
        <v>56</v>
      </c>
      <c r="C277" s="377">
        <f>AH217</f>
        <v>64</v>
      </c>
      <c r="D277" s="377">
        <f>BJ217</f>
        <v>64</v>
      </c>
      <c r="E277" s="377">
        <f>CL217</f>
        <v>75</v>
      </c>
      <c r="F277" s="377">
        <f>DN217</f>
        <v>85</v>
      </c>
    </row>
    <row r="278" spans="1:6" x14ac:dyDescent="0.15">
      <c r="A278" s="377" t="s">
        <v>121</v>
      </c>
      <c r="B278" s="377">
        <f>F267</f>
        <v>68</v>
      </c>
      <c r="C278" s="377">
        <f>AH267</f>
        <v>71</v>
      </c>
      <c r="D278" s="377">
        <f>BJ267</f>
        <v>75</v>
      </c>
      <c r="E278" s="377">
        <f>CL267</f>
        <v>78</v>
      </c>
      <c r="F278" s="377">
        <f>DN267</f>
        <v>84</v>
      </c>
    </row>
    <row r="281" spans="1:6" x14ac:dyDescent="0.15">
      <c r="A281" s="377" t="s">
        <v>77</v>
      </c>
      <c r="B281" s="377">
        <f>INDEX(B274:F274,MATCH(B271,B273:F273,0))</f>
        <v>109</v>
      </c>
    </row>
    <row r="282" spans="1:6" x14ac:dyDescent="0.15">
      <c r="A282" s="377" t="s">
        <v>438</v>
      </c>
      <c r="B282" s="377">
        <f>INDEX(B275:F275,MATCH(B271,B273:F273,0))</f>
        <v>50</v>
      </c>
    </row>
    <row r="283" spans="1:6" x14ac:dyDescent="0.15">
      <c r="A283" s="377" t="s">
        <v>439</v>
      </c>
      <c r="B283" s="377">
        <f>INDEX(B276:F276,MATCH(B271,B273:F273,0))</f>
        <v>60</v>
      </c>
    </row>
    <row r="284" spans="1:6" x14ac:dyDescent="0.15">
      <c r="A284" s="377" t="s">
        <v>440</v>
      </c>
      <c r="B284" s="377">
        <f>INDEX(B277:F277,MATCH(B271,B273:F273,0))</f>
        <v>64</v>
      </c>
    </row>
    <row r="285" spans="1:6" x14ac:dyDescent="0.15">
      <c r="A285" s="377" t="s">
        <v>121</v>
      </c>
      <c r="B285" s="377">
        <f>INDEX(B278:F278,MATCH(B271,B273:F273,0))</f>
        <v>75</v>
      </c>
    </row>
    <row r="286" spans="1:6" x14ac:dyDescent="0.15">
      <c r="E286" s="377">
        <f>SUM(B281:B285)</f>
        <v>358</v>
      </c>
    </row>
    <row r="287" spans="1:6" x14ac:dyDescent="0.15">
      <c r="A287" s="377" t="s">
        <v>442</v>
      </c>
      <c r="B287" s="377">
        <f>SUM(B281:B285)</f>
        <v>358</v>
      </c>
    </row>
    <row r="288" spans="1:6" x14ac:dyDescent="0.15">
      <c r="A288" s="377" t="s">
        <v>72</v>
      </c>
      <c r="B288" s="377">
        <f>LOOKUP(B287,B292:C412,D292:D412)</f>
        <v>64</v>
      </c>
    </row>
    <row r="292" spans="1:5" ht="13" x14ac:dyDescent="0.15">
      <c r="A292" s="400"/>
      <c r="B292" s="405">
        <v>200</v>
      </c>
      <c r="C292" s="405">
        <v>207</v>
      </c>
      <c r="D292" s="406">
        <v>40</v>
      </c>
      <c r="E292" s="405" t="s">
        <v>443</v>
      </c>
    </row>
    <row r="293" spans="1:5" ht="13" x14ac:dyDescent="0.15">
      <c r="A293" s="400"/>
      <c r="B293" s="405">
        <v>208</v>
      </c>
      <c r="C293" s="405">
        <v>215</v>
      </c>
      <c r="D293" s="406">
        <v>41</v>
      </c>
      <c r="E293" s="405" t="s">
        <v>443</v>
      </c>
    </row>
    <row r="294" spans="1:5" ht="13" x14ac:dyDescent="0.15">
      <c r="A294" s="400"/>
      <c r="B294" s="405">
        <v>216</v>
      </c>
      <c r="C294" s="405">
        <v>223</v>
      </c>
      <c r="D294" s="406">
        <v>42</v>
      </c>
      <c r="E294" s="405" t="s">
        <v>443</v>
      </c>
    </row>
    <row r="295" spans="1:5" ht="13" x14ac:dyDescent="0.15">
      <c r="A295" s="400"/>
      <c r="B295" s="405">
        <v>224</v>
      </c>
      <c r="C295" s="405">
        <v>231</v>
      </c>
      <c r="D295" s="406">
        <v>43</v>
      </c>
      <c r="E295" s="405" t="s">
        <v>443</v>
      </c>
    </row>
    <row r="296" spans="1:5" ht="13" x14ac:dyDescent="0.15">
      <c r="A296" s="400"/>
      <c r="B296" s="405">
        <v>232</v>
      </c>
      <c r="C296" s="405">
        <v>239</v>
      </c>
      <c r="D296" s="406">
        <v>44</v>
      </c>
      <c r="E296" s="405" t="s">
        <v>443</v>
      </c>
    </row>
    <row r="297" spans="1:5" ht="13" x14ac:dyDescent="0.15">
      <c r="A297" s="400"/>
      <c r="B297" s="405">
        <v>240</v>
      </c>
      <c r="C297" s="405">
        <v>247</v>
      </c>
      <c r="D297" s="406">
        <v>45</v>
      </c>
      <c r="E297" s="405" t="s">
        <v>443</v>
      </c>
    </row>
    <row r="298" spans="1:5" ht="13" x14ac:dyDescent="0.15">
      <c r="A298" s="400"/>
      <c r="B298" s="405">
        <v>248</v>
      </c>
      <c r="C298" s="405">
        <v>255</v>
      </c>
      <c r="D298" s="406">
        <v>46</v>
      </c>
      <c r="E298" s="405" t="s">
        <v>443</v>
      </c>
    </row>
    <row r="299" spans="1:5" ht="13" x14ac:dyDescent="0.15">
      <c r="A299" s="400"/>
      <c r="B299" s="405">
        <v>256</v>
      </c>
      <c r="C299" s="405">
        <v>263</v>
      </c>
      <c r="D299" s="406">
        <v>47</v>
      </c>
      <c r="E299" s="405" t="s">
        <v>443</v>
      </c>
    </row>
    <row r="300" spans="1:5" ht="13" x14ac:dyDescent="0.15">
      <c r="A300" s="400"/>
      <c r="B300" s="405">
        <v>264</v>
      </c>
      <c r="C300" s="405">
        <v>271</v>
      </c>
      <c r="D300" s="406">
        <v>48</v>
      </c>
      <c r="E300" s="405" t="s">
        <v>443</v>
      </c>
    </row>
    <row r="301" spans="1:5" ht="13" x14ac:dyDescent="0.15">
      <c r="A301" s="400"/>
      <c r="B301" s="405">
        <v>272</v>
      </c>
      <c r="C301" s="405">
        <v>279</v>
      </c>
      <c r="D301" s="406">
        <v>49</v>
      </c>
      <c r="E301" s="405" t="s">
        <v>443</v>
      </c>
    </row>
    <row r="302" spans="1:5" ht="13" x14ac:dyDescent="0.15">
      <c r="A302" s="400"/>
      <c r="B302" s="405">
        <v>280</v>
      </c>
      <c r="C302" s="405">
        <v>287</v>
      </c>
      <c r="D302" s="406">
        <v>50</v>
      </c>
      <c r="E302" s="405" t="s">
        <v>443</v>
      </c>
    </row>
    <row r="303" spans="1:5" ht="13" x14ac:dyDescent="0.15">
      <c r="A303" s="400"/>
      <c r="B303" s="405">
        <v>288</v>
      </c>
      <c r="C303" s="405">
        <v>295</v>
      </c>
      <c r="D303" s="406">
        <v>51</v>
      </c>
      <c r="E303" s="407">
        <v>0.1</v>
      </c>
    </row>
    <row r="304" spans="1:5" ht="13" x14ac:dyDescent="0.15">
      <c r="A304" s="401"/>
      <c r="B304" s="405">
        <v>296</v>
      </c>
      <c r="C304" s="405">
        <v>303</v>
      </c>
      <c r="D304" s="406">
        <v>52</v>
      </c>
      <c r="E304" s="407">
        <v>0.1</v>
      </c>
    </row>
    <row r="305" spans="1:5" ht="13" x14ac:dyDescent="0.15">
      <c r="A305" s="401"/>
      <c r="B305" s="405">
        <v>304</v>
      </c>
      <c r="C305" s="405">
        <v>311</v>
      </c>
      <c r="D305" s="406">
        <v>53</v>
      </c>
      <c r="E305" s="407">
        <v>0.1</v>
      </c>
    </row>
    <row r="306" spans="1:5" ht="13" x14ac:dyDescent="0.15">
      <c r="A306" s="401"/>
      <c r="B306" s="405">
        <v>312</v>
      </c>
      <c r="C306" s="405">
        <v>319</v>
      </c>
      <c r="D306" s="406">
        <v>54</v>
      </c>
      <c r="E306" s="407">
        <v>0.1</v>
      </c>
    </row>
    <row r="307" spans="1:5" ht="13" x14ac:dyDescent="0.15">
      <c r="A307" s="401"/>
      <c r="B307" s="405">
        <v>320</v>
      </c>
      <c r="C307" s="405">
        <v>327</v>
      </c>
      <c r="D307" s="406">
        <v>55</v>
      </c>
      <c r="E307" s="407">
        <v>0.1</v>
      </c>
    </row>
    <row r="308" spans="1:5" ht="13" x14ac:dyDescent="0.15">
      <c r="A308" s="401"/>
      <c r="B308" s="405">
        <v>328</v>
      </c>
      <c r="C308" s="405">
        <v>330</v>
      </c>
      <c r="D308" s="406">
        <v>56</v>
      </c>
      <c r="E308" s="407">
        <v>0.2</v>
      </c>
    </row>
    <row r="309" spans="1:5" ht="13" x14ac:dyDescent="0.15">
      <c r="A309" s="401"/>
      <c r="B309" s="405">
        <v>331</v>
      </c>
      <c r="C309" s="405">
        <v>333</v>
      </c>
      <c r="D309" s="406">
        <v>57</v>
      </c>
      <c r="E309" s="407">
        <v>0.2</v>
      </c>
    </row>
    <row r="310" spans="1:5" ht="13" x14ac:dyDescent="0.15">
      <c r="A310" s="401"/>
      <c r="B310" s="405">
        <v>334</v>
      </c>
      <c r="C310" s="405">
        <v>336</v>
      </c>
      <c r="D310" s="406">
        <v>58</v>
      </c>
      <c r="E310" s="407">
        <v>0.3</v>
      </c>
    </row>
    <row r="311" spans="1:5" ht="13" x14ac:dyDescent="0.15">
      <c r="A311" s="401"/>
      <c r="B311" s="405">
        <v>337</v>
      </c>
      <c r="C311" s="405">
        <v>339</v>
      </c>
      <c r="D311" s="406">
        <v>59</v>
      </c>
      <c r="E311" s="407">
        <v>0.3</v>
      </c>
    </row>
    <row r="312" spans="1:5" ht="13" x14ac:dyDescent="0.15">
      <c r="A312" s="401"/>
      <c r="B312" s="405">
        <v>340</v>
      </c>
      <c r="C312" s="405">
        <v>343</v>
      </c>
      <c r="D312" s="406">
        <v>60</v>
      </c>
      <c r="E312" s="407">
        <v>0.4</v>
      </c>
    </row>
    <row r="313" spans="1:5" ht="13" x14ac:dyDescent="0.15">
      <c r="A313" s="401"/>
      <c r="B313" s="405">
        <v>344</v>
      </c>
      <c r="C313" s="405">
        <v>347</v>
      </c>
      <c r="D313" s="406">
        <v>61</v>
      </c>
      <c r="E313" s="407">
        <v>0.5</v>
      </c>
    </row>
    <row r="314" spans="1:5" ht="13" x14ac:dyDescent="0.15">
      <c r="A314" s="401"/>
      <c r="B314" s="405">
        <v>348</v>
      </c>
      <c r="C314" s="405">
        <v>351</v>
      </c>
      <c r="D314" s="406">
        <v>62</v>
      </c>
      <c r="E314" s="406">
        <v>1</v>
      </c>
    </row>
    <row r="315" spans="1:5" ht="13" x14ac:dyDescent="0.15">
      <c r="A315" s="401"/>
      <c r="B315" s="405">
        <v>352</v>
      </c>
      <c r="C315" s="405">
        <v>355</v>
      </c>
      <c r="D315" s="406">
        <v>63</v>
      </c>
      <c r="E315" s="406">
        <v>1</v>
      </c>
    </row>
    <row r="316" spans="1:5" ht="13" x14ac:dyDescent="0.15">
      <c r="A316" s="401"/>
      <c r="B316" s="405">
        <v>356</v>
      </c>
      <c r="C316" s="405">
        <v>359</v>
      </c>
      <c r="D316" s="406">
        <v>64</v>
      </c>
      <c r="E316" s="406">
        <v>1</v>
      </c>
    </row>
    <row r="317" spans="1:5" ht="13" x14ac:dyDescent="0.15">
      <c r="A317" s="401"/>
      <c r="B317" s="405">
        <v>360</v>
      </c>
      <c r="C317" s="405">
        <v>363</v>
      </c>
      <c r="D317" s="406">
        <v>65</v>
      </c>
      <c r="E317" s="406">
        <v>1</v>
      </c>
    </row>
    <row r="318" spans="1:5" ht="13" x14ac:dyDescent="0.15">
      <c r="A318" s="401"/>
      <c r="B318" s="405">
        <v>364</v>
      </c>
      <c r="C318" s="405">
        <v>367</v>
      </c>
      <c r="D318" s="406">
        <v>66</v>
      </c>
      <c r="E318" s="406">
        <v>1</v>
      </c>
    </row>
    <row r="319" spans="1:5" ht="13" x14ac:dyDescent="0.15">
      <c r="A319" s="401"/>
      <c r="B319" s="405">
        <v>368</v>
      </c>
      <c r="C319" s="405">
        <v>372</v>
      </c>
      <c r="D319" s="406">
        <v>67</v>
      </c>
      <c r="E319" s="406">
        <v>1</v>
      </c>
    </row>
    <row r="320" spans="1:5" ht="13" x14ac:dyDescent="0.15">
      <c r="A320" s="401"/>
      <c r="B320" s="405">
        <v>373</v>
      </c>
      <c r="C320" s="405">
        <v>376</v>
      </c>
      <c r="D320" s="406">
        <v>68</v>
      </c>
      <c r="E320" s="406">
        <v>2</v>
      </c>
    </row>
    <row r="321" spans="1:5" ht="13" x14ac:dyDescent="0.15">
      <c r="A321" s="401"/>
      <c r="B321" s="405">
        <v>377</v>
      </c>
      <c r="C321" s="405">
        <v>380</v>
      </c>
      <c r="D321" s="406">
        <v>69</v>
      </c>
      <c r="E321" s="406">
        <v>2</v>
      </c>
    </row>
    <row r="322" spans="1:5" ht="13" x14ac:dyDescent="0.15">
      <c r="A322" s="401"/>
      <c r="B322" s="405">
        <v>381</v>
      </c>
      <c r="C322" s="405">
        <v>384</v>
      </c>
      <c r="D322" s="406">
        <v>70</v>
      </c>
      <c r="E322" s="406">
        <v>2</v>
      </c>
    </row>
    <row r="323" spans="1:5" ht="13" x14ac:dyDescent="0.15">
      <c r="A323" s="401"/>
      <c r="B323" s="405">
        <v>385</v>
      </c>
      <c r="C323" s="405">
        <v>387</v>
      </c>
      <c r="D323" s="406">
        <v>71</v>
      </c>
      <c r="E323" s="406">
        <v>3</v>
      </c>
    </row>
    <row r="324" spans="1:5" ht="13" x14ac:dyDescent="0.15">
      <c r="A324" s="401"/>
      <c r="B324" s="405">
        <v>388</v>
      </c>
      <c r="C324" s="405">
        <v>391</v>
      </c>
      <c r="D324" s="406">
        <v>72</v>
      </c>
      <c r="E324" s="406">
        <v>3</v>
      </c>
    </row>
    <row r="325" spans="1:5" ht="13" x14ac:dyDescent="0.15">
      <c r="A325" s="401"/>
      <c r="B325" s="405">
        <v>392</v>
      </c>
      <c r="C325" s="405">
        <v>394</v>
      </c>
      <c r="D325" s="406">
        <v>73</v>
      </c>
      <c r="E325" s="406">
        <v>4</v>
      </c>
    </row>
    <row r="326" spans="1:5" ht="13" x14ac:dyDescent="0.15">
      <c r="A326" s="401"/>
      <c r="B326" s="405">
        <v>395</v>
      </c>
      <c r="C326" s="405">
        <v>398</v>
      </c>
      <c r="D326" s="406">
        <v>74</v>
      </c>
      <c r="E326" s="406">
        <v>4</v>
      </c>
    </row>
    <row r="327" spans="1:5" ht="13" x14ac:dyDescent="0.15">
      <c r="A327" s="401"/>
      <c r="B327" s="405">
        <v>399</v>
      </c>
      <c r="C327" s="405">
        <v>402</v>
      </c>
      <c r="D327" s="406">
        <v>75</v>
      </c>
      <c r="E327" s="406">
        <v>5</v>
      </c>
    </row>
    <row r="328" spans="1:5" ht="13" x14ac:dyDescent="0.15">
      <c r="A328" s="401"/>
      <c r="B328" s="405">
        <v>403</v>
      </c>
      <c r="C328" s="405">
        <v>405</v>
      </c>
      <c r="D328" s="406">
        <v>76</v>
      </c>
      <c r="E328" s="406">
        <v>5</v>
      </c>
    </row>
    <row r="329" spans="1:5" ht="13" x14ac:dyDescent="0.15">
      <c r="A329" s="401"/>
      <c r="B329" s="405">
        <v>406</v>
      </c>
      <c r="C329" s="405">
        <v>409</v>
      </c>
      <c r="D329" s="406">
        <v>77</v>
      </c>
      <c r="E329" s="406">
        <v>6</v>
      </c>
    </row>
    <row r="330" spans="1:5" ht="13" x14ac:dyDescent="0.15">
      <c r="A330" s="401"/>
      <c r="B330" s="405">
        <v>410</v>
      </c>
      <c r="C330" s="405">
        <v>414</v>
      </c>
      <c r="D330" s="406">
        <v>78</v>
      </c>
      <c r="E330" s="406">
        <v>7</v>
      </c>
    </row>
    <row r="331" spans="1:5" ht="13" x14ac:dyDescent="0.15">
      <c r="A331" s="401"/>
      <c r="B331" s="405">
        <v>415</v>
      </c>
      <c r="C331" s="405">
        <v>419</v>
      </c>
      <c r="D331" s="406">
        <v>79</v>
      </c>
      <c r="E331" s="406">
        <v>8</v>
      </c>
    </row>
    <row r="332" spans="1:5" ht="13" x14ac:dyDescent="0.15">
      <c r="A332" s="402"/>
      <c r="B332" s="405">
        <v>420</v>
      </c>
      <c r="C332" s="405">
        <v>426</v>
      </c>
      <c r="D332" s="406">
        <v>80</v>
      </c>
      <c r="E332" s="406">
        <v>9</v>
      </c>
    </row>
    <row r="333" spans="1:5" ht="15" x14ac:dyDescent="0.15">
      <c r="A333" s="401"/>
      <c r="B333" s="408">
        <v>427</v>
      </c>
      <c r="C333" s="408">
        <v>430</v>
      </c>
      <c r="D333" s="408">
        <v>81</v>
      </c>
      <c r="E333" s="408">
        <v>10</v>
      </c>
    </row>
    <row r="334" spans="1:5" ht="15" x14ac:dyDescent="0.15">
      <c r="A334" s="403"/>
      <c r="B334" s="408">
        <v>431</v>
      </c>
      <c r="C334" s="408">
        <v>435</v>
      </c>
      <c r="D334" s="408">
        <v>82</v>
      </c>
      <c r="E334" s="408">
        <v>12</v>
      </c>
    </row>
    <row r="335" spans="1:5" ht="15" x14ac:dyDescent="0.15">
      <c r="A335" s="401"/>
      <c r="B335" s="408">
        <v>436</v>
      </c>
      <c r="C335" s="408">
        <v>440</v>
      </c>
      <c r="D335" s="408">
        <v>83</v>
      </c>
      <c r="E335" s="408">
        <v>13</v>
      </c>
    </row>
    <row r="336" spans="1:5" ht="15" x14ac:dyDescent="0.15">
      <c r="A336" s="401"/>
      <c r="B336" s="408">
        <v>441</v>
      </c>
      <c r="C336" s="408">
        <v>444</v>
      </c>
      <c r="D336" s="408">
        <v>84</v>
      </c>
      <c r="E336" s="408">
        <v>14</v>
      </c>
    </row>
    <row r="337" spans="1:5" ht="15" x14ac:dyDescent="0.15">
      <c r="A337" s="401"/>
      <c r="B337" s="408">
        <v>445</v>
      </c>
      <c r="C337" s="408">
        <v>449</v>
      </c>
      <c r="D337" s="408">
        <v>85</v>
      </c>
      <c r="E337" s="408">
        <v>16</v>
      </c>
    </row>
    <row r="338" spans="1:5" ht="15" x14ac:dyDescent="0.15">
      <c r="A338" s="401"/>
      <c r="B338" s="408">
        <v>450</v>
      </c>
      <c r="C338" s="408">
        <v>454</v>
      </c>
      <c r="D338" s="408">
        <v>86</v>
      </c>
      <c r="E338" s="408">
        <v>18</v>
      </c>
    </row>
    <row r="339" spans="1:5" ht="15" x14ac:dyDescent="0.15">
      <c r="A339" s="401"/>
      <c r="B339" s="408">
        <v>455</v>
      </c>
      <c r="C339" s="408">
        <v>458</v>
      </c>
      <c r="D339" s="408">
        <v>87</v>
      </c>
      <c r="E339" s="408">
        <v>19</v>
      </c>
    </row>
    <row r="340" spans="1:5" ht="15" x14ac:dyDescent="0.15">
      <c r="A340" s="401"/>
      <c r="B340" s="408">
        <v>459</v>
      </c>
      <c r="C340" s="408">
        <v>461</v>
      </c>
      <c r="D340" s="408">
        <v>88</v>
      </c>
      <c r="E340" s="408">
        <v>21</v>
      </c>
    </row>
    <row r="341" spans="1:5" ht="15" x14ac:dyDescent="0.15">
      <c r="A341" s="401"/>
      <c r="B341" s="408">
        <v>462</v>
      </c>
      <c r="C341" s="408">
        <v>464</v>
      </c>
      <c r="D341" s="408">
        <v>89</v>
      </c>
      <c r="E341" s="408">
        <v>23</v>
      </c>
    </row>
    <row r="342" spans="1:5" ht="15" x14ac:dyDescent="0.15">
      <c r="A342" s="401"/>
      <c r="B342" s="408">
        <v>465</v>
      </c>
      <c r="C342" s="408">
        <v>468</v>
      </c>
      <c r="D342" s="408">
        <v>90</v>
      </c>
      <c r="E342" s="408">
        <v>25</v>
      </c>
    </row>
    <row r="343" spans="1:5" ht="15" x14ac:dyDescent="0.15">
      <c r="A343" s="401"/>
      <c r="B343" s="408">
        <v>469</v>
      </c>
      <c r="C343" s="408">
        <v>471</v>
      </c>
      <c r="D343" s="408">
        <v>91</v>
      </c>
      <c r="E343" s="408">
        <v>27</v>
      </c>
    </row>
    <row r="344" spans="1:5" ht="15" x14ac:dyDescent="0.15">
      <c r="A344" s="401"/>
      <c r="B344" s="408">
        <v>472</v>
      </c>
      <c r="C344" s="408">
        <v>475</v>
      </c>
      <c r="D344" s="408">
        <v>92</v>
      </c>
      <c r="E344" s="408">
        <v>30</v>
      </c>
    </row>
    <row r="345" spans="1:5" ht="15" x14ac:dyDescent="0.15">
      <c r="A345" s="401"/>
      <c r="B345" s="408">
        <v>476</v>
      </c>
      <c r="C345" s="408">
        <v>479</v>
      </c>
      <c r="D345" s="408">
        <v>93</v>
      </c>
      <c r="E345" s="408">
        <v>32</v>
      </c>
    </row>
    <row r="346" spans="1:5" ht="15" x14ac:dyDescent="0.15">
      <c r="A346" s="401"/>
      <c r="B346" s="408">
        <v>480</v>
      </c>
      <c r="C346" s="408">
        <v>483</v>
      </c>
      <c r="D346" s="408">
        <v>94</v>
      </c>
      <c r="E346" s="408">
        <v>34</v>
      </c>
    </row>
    <row r="347" spans="1:5" ht="15" x14ac:dyDescent="0.15">
      <c r="A347" s="401"/>
      <c r="B347" s="408">
        <v>484</v>
      </c>
      <c r="C347" s="408">
        <v>487</v>
      </c>
      <c r="D347" s="408">
        <v>95</v>
      </c>
      <c r="E347" s="408">
        <v>37</v>
      </c>
    </row>
    <row r="348" spans="1:5" ht="15" x14ac:dyDescent="0.15">
      <c r="A348" s="401"/>
      <c r="B348" s="408">
        <v>488</v>
      </c>
      <c r="C348" s="408">
        <v>490</v>
      </c>
      <c r="D348" s="408">
        <v>96</v>
      </c>
      <c r="E348" s="408">
        <v>39</v>
      </c>
    </row>
    <row r="349" spans="1:5" ht="15" x14ac:dyDescent="0.15">
      <c r="A349" s="401"/>
      <c r="B349" s="408">
        <v>491</v>
      </c>
      <c r="C349" s="408">
        <v>493</v>
      </c>
      <c r="D349" s="408">
        <v>97</v>
      </c>
      <c r="E349" s="408">
        <v>42</v>
      </c>
    </row>
    <row r="350" spans="1:5" ht="15" x14ac:dyDescent="0.15">
      <c r="A350" s="401"/>
      <c r="B350" s="408">
        <v>494</v>
      </c>
      <c r="C350" s="408">
        <v>496</v>
      </c>
      <c r="D350" s="408">
        <v>98</v>
      </c>
      <c r="E350" s="408">
        <v>45</v>
      </c>
    </row>
    <row r="351" spans="1:5" ht="15" x14ac:dyDescent="0.15">
      <c r="A351" s="401"/>
      <c r="B351" s="408">
        <v>497</v>
      </c>
      <c r="C351" s="408">
        <v>499</v>
      </c>
      <c r="D351" s="408">
        <v>99</v>
      </c>
      <c r="E351" s="408">
        <v>47</v>
      </c>
    </row>
    <row r="352" spans="1:5" ht="15" x14ac:dyDescent="0.15">
      <c r="A352" s="401"/>
      <c r="B352" s="408">
        <v>500</v>
      </c>
      <c r="C352" s="408">
        <v>505</v>
      </c>
      <c r="D352" s="408">
        <v>100</v>
      </c>
      <c r="E352" s="408">
        <v>50</v>
      </c>
    </row>
    <row r="353" spans="1:5" ht="15" x14ac:dyDescent="0.15">
      <c r="A353" s="401"/>
      <c r="B353" s="408">
        <v>506</v>
      </c>
      <c r="C353" s="408">
        <v>509</v>
      </c>
      <c r="D353" s="408">
        <v>101</v>
      </c>
      <c r="E353" s="408">
        <v>53</v>
      </c>
    </row>
    <row r="354" spans="1:5" ht="15" x14ac:dyDescent="0.15">
      <c r="A354" s="401"/>
      <c r="B354" s="408">
        <v>510</v>
      </c>
      <c r="C354" s="408">
        <v>513</v>
      </c>
      <c r="D354" s="408">
        <v>102</v>
      </c>
      <c r="E354" s="408">
        <v>55</v>
      </c>
    </row>
    <row r="355" spans="1:5" ht="15" x14ac:dyDescent="0.15">
      <c r="A355" s="401"/>
      <c r="B355" s="408">
        <v>514</v>
      </c>
      <c r="C355" s="408">
        <v>516</v>
      </c>
      <c r="D355" s="408">
        <v>103</v>
      </c>
      <c r="E355" s="408">
        <v>58</v>
      </c>
    </row>
    <row r="356" spans="1:5" ht="15" x14ac:dyDescent="0.15">
      <c r="A356" s="401"/>
      <c r="B356" s="408">
        <v>517</v>
      </c>
      <c r="C356" s="408">
        <v>520</v>
      </c>
      <c r="D356" s="408">
        <v>104</v>
      </c>
      <c r="E356" s="408">
        <v>61</v>
      </c>
    </row>
    <row r="357" spans="1:5" ht="15" x14ac:dyDescent="0.15">
      <c r="A357" s="401"/>
      <c r="B357" s="408">
        <v>521</v>
      </c>
      <c r="C357" s="408">
        <v>523</v>
      </c>
      <c r="D357" s="408">
        <v>105</v>
      </c>
      <c r="E357" s="408">
        <v>63</v>
      </c>
    </row>
    <row r="358" spans="1:5" ht="15" x14ac:dyDescent="0.15">
      <c r="A358" s="401"/>
      <c r="B358" s="408">
        <v>524</v>
      </c>
      <c r="C358" s="408">
        <v>527</v>
      </c>
      <c r="D358" s="408">
        <v>106</v>
      </c>
      <c r="E358" s="408">
        <v>66</v>
      </c>
    </row>
    <row r="359" spans="1:5" ht="15" x14ac:dyDescent="0.15">
      <c r="A359" s="401"/>
      <c r="B359" s="408">
        <v>528</v>
      </c>
      <c r="C359" s="408">
        <v>530</v>
      </c>
      <c r="D359" s="408">
        <v>107</v>
      </c>
      <c r="E359" s="408">
        <v>68</v>
      </c>
    </row>
    <row r="360" spans="1:5" ht="15" x14ac:dyDescent="0.15">
      <c r="A360" s="401"/>
      <c r="B360" s="408">
        <v>531</v>
      </c>
      <c r="C360" s="408">
        <v>533</v>
      </c>
      <c r="D360" s="408">
        <v>108</v>
      </c>
      <c r="E360" s="408">
        <v>70</v>
      </c>
    </row>
    <row r="361" spans="1:5" ht="15" x14ac:dyDescent="0.15">
      <c r="A361" s="401"/>
      <c r="B361" s="408">
        <v>534</v>
      </c>
      <c r="C361" s="408">
        <v>536</v>
      </c>
      <c r="D361" s="408">
        <v>109</v>
      </c>
      <c r="E361" s="408">
        <v>73</v>
      </c>
    </row>
    <row r="362" spans="1:5" ht="15" x14ac:dyDescent="0.15">
      <c r="A362" s="401"/>
      <c r="B362" s="408">
        <v>537</v>
      </c>
      <c r="C362" s="408">
        <v>539</v>
      </c>
      <c r="D362" s="408">
        <v>110</v>
      </c>
      <c r="E362" s="408">
        <v>75</v>
      </c>
    </row>
    <row r="363" spans="1:5" ht="15" x14ac:dyDescent="0.15">
      <c r="A363" s="401"/>
      <c r="B363" s="408">
        <v>540</v>
      </c>
      <c r="C363" s="408">
        <v>542</v>
      </c>
      <c r="D363" s="408">
        <v>111</v>
      </c>
      <c r="E363" s="408">
        <v>77</v>
      </c>
    </row>
    <row r="364" spans="1:5" ht="15" x14ac:dyDescent="0.15">
      <c r="A364" s="401"/>
      <c r="B364" s="408">
        <v>543</v>
      </c>
      <c r="C364" s="408">
        <v>545</v>
      </c>
      <c r="D364" s="408">
        <v>112</v>
      </c>
      <c r="E364" s="408">
        <v>79</v>
      </c>
    </row>
    <row r="365" spans="1:5" ht="15" x14ac:dyDescent="0.15">
      <c r="A365" s="401"/>
      <c r="B365" s="408">
        <v>546</v>
      </c>
      <c r="C365" s="408">
        <v>548</v>
      </c>
      <c r="D365" s="408">
        <v>113</v>
      </c>
      <c r="E365" s="408">
        <v>81</v>
      </c>
    </row>
    <row r="366" spans="1:5" ht="15" x14ac:dyDescent="0.15">
      <c r="A366" s="401"/>
      <c r="B366" s="408">
        <v>549</v>
      </c>
      <c r="C366" s="408">
        <v>551</v>
      </c>
      <c r="D366" s="408">
        <v>114</v>
      </c>
      <c r="E366" s="408">
        <v>82</v>
      </c>
    </row>
    <row r="367" spans="1:5" ht="15" x14ac:dyDescent="0.15">
      <c r="A367" s="401"/>
      <c r="B367" s="408">
        <v>552</v>
      </c>
      <c r="C367" s="408">
        <v>554</v>
      </c>
      <c r="D367" s="408">
        <v>115</v>
      </c>
      <c r="E367" s="408">
        <v>84</v>
      </c>
    </row>
    <row r="368" spans="1:5" ht="15" x14ac:dyDescent="0.15">
      <c r="A368" s="401"/>
      <c r="B368" s="408">
        <v>555</v>
      </c>
      <c r="C368" s="408">
        <v>556</v>
      </c>
      <c r="D368" s="408">
        <v>116</v>
      </c>
      <c r="E368" s="408">
        <v>86</v>
      </c>
    </row>
    <row r="369" spans="1:5" ht="15" x14ac:dyDescent="0.15">
      <c r="A369" s="401"/>
      <c r="B369" s="408">
        <v>557</v>
      </c>
      <c r="C369" s="408">
        <v>559</v>
      </c>
      <c r="D369" s="408">
        <v>117</v>
      </c>
      <c r="E369" s="408">
        <v>87</v>
      </c>
    </row>
    <row r="370" spans="1:5" ht="15" x14ac:dyDescent="0.15">
      <c r="A370" s="401"/>
      <c r="B370" s="408">
        <v>560</v>
      </c>
      <c r="C370" s="408">
        <v>562</v>
      </c>
      <c r="D370" s="408">
        <v>118</v>
      </c>
      <c r="E370" s="408">
        <v>88</v>
      </c>
    </row>
    <row r="371" spans="1:5" ht="15" x14ac:dyDescent="0.15">
      <c r="A371" s="401"/>
      <c r="B371" s="408">
        <v>563</v>
      </c>
      <c r="C371" s="408">
        <v>566</v>
      </c>
      <c r="D371" s="408">
        <v>119</v>
      </c>
      <c r="E371" s="408">
        <v>90</v>
      </c>
    </row>
    <row r="372" spans="1:5" ht="15" x14ac:dyDescent="0.15">
      <c r="A372" s="401"/>
      <c r="B372" s="408">
        <v>567</v>
      </c>
      <c r="C372" s="408">
        <v>570</v>
      </c>
      <c r="D372" s="408">
        <v>120</v>
      </c>
      <c r="E372" s="408">
        <v>91</v>
      </c>
    </row>
    <row r="373" spans="1:5" ht="15" x14ac:dyDescent="0.15">
      <c r="A373" s="402"/>
      <c r="B373" s="408">
        <v>571</v>
      </c>
      <c r="C373" s="408">
        <v>573</v>
      </c>
      <c r="D373" s="408">
        <v>121</v>
      </c>
      <c r="E373" s="408">
        <v>92</v>
      </c>
    </row>
    <row r="374" spans="1:5" ht="15" x14ac:dyDescent="0.15">
      <c r="A374" s="400"/>
      <c r="B374" s="408">
        <v>574</v>
      </c>
      <c r="C374" s="408">
        <v>576</v>
      </c>
      <c r="D374" s="408">
        <v>122</v>
      </c>
      <c r="E374" s="408">
        <v>93</v>
      </c>
    </row>
    <row r="375" spans="1:5" ht="15" x14ac:dyDescent="0.15">
      <c r="A375" s="400"/>
      <c r="B375" s="408">
        <v>577</v>
      </c>
      <c r="C375" s="408">
        <v>580</v>
      </c>
      <c r="D375" s="408">
        <v>123</v>
      </c>
      <c r="E375" s="408">
        <v>94</v>
      </c>
    </row>
    <row r="376" spans="1:5" ht="15" x14ac:dyDescent="0.15">
      <c r="A376" s="400"/>
      <c r="B376" s="408">
        <v>581</v>
      </c>
      <c r="C376" s="408">
        <v>583</v>
      </c>
      <c r="D376" s="408">
        <v>124</v>
      </c>
      <c r="E376" s="408">
        <v>95</v>
      </c>
    </row>
    <row r="377" spans="1:5" ht="15" x14ac:dyDescent="0.15">
      <c r="A377" s="400"/>
      <c r="B377" s="408">
        <v>584</v>
      </c>
      <c r="C377" s="408">
        <v>586</v>
      </c>
      <c r="D377" s="408">
        <v>125</v>
      </c>
      <c r="E377" s="408">
        <v>95</v>
      </c>
    </row>
    <row r="378" spans="1:5" ht="15" x14ac:dyDescent="0.15">
      <c r="A378" s="400"/>
      <c r="B378" s="408">
        <v>587</v>
      </c>
      <c r="C378" s="408">
        <v>588</v>
      </c>
      <c r="D378" s="408">
        <v>126</v>
      </c>
      <c r="E378" s="408">
        <v>96</v>
      </c>
    </row>
    <row r="379" spans="1:5" ht="15" x14ac:dyDescent="0.15">
      <c r="A379" s="400"/>
      <c r="B379" s="408">
        <v>589</v>
      </c>
      <c r="C379" s="408">
        <v>591</v>
      </c>
      <c r="D379" s="408">
        <v>127</v>
      </c>
      <c r="E379" s="408">
        <v>96</v>
      </c>
    </row>
    <row r="380" spans="1:5" ht="15" x14ac:dyDescent="0.15">
      <c r="A380" s="404"/>
      <c r="B380" s="408">
        <v>592</v>
      </c>
      <c r="C380" s="408">
        <v>593</v>
      </c>
      <c r="D380" s="408">
        <v>128</v>
      </c>
      <c r="E380" s="408">
        <v>97</v>
      </c>
    </row>
    <row r="381" spans="1:5" ht="15" x14ac:dyDescent="0.15">
      <c r="A381" s="400"/>
      <c r="B381" s="408">
        <v>594</v>
      </c>
      <c r="C381" s="408">
        <v>596</v>
      </c>
      <c r="D381" s="408">
        <v>129</v>
      </c>
      <c r="E381" s="408">
        <v>97</v>
      </c>
    </row>
    <row r="382" spans="1:5" ht="15" x14ac:dyDescent="0.15">
      <c r="A382" s="400"/>
      <c r="B382" s="408">
        <v>597</v>
      </c>
      <c r="C382" s="408">
        <v>598</v>
      </c>
      <c r="D382" s="408">
        <v>130</v>
      </c>
      <c r="E382" s="408">
        <v>98</v>
      </c>
    </row>
    <row r="383" spans="1:5" ht="15" x14ac:dyDescent="0.15">
      <c r="A383" s="403"/>
      <c r="B383" s="408">
        <v>599</v>
      </c>
      <c r="C383" s="408">
        <v>600</v>
      </c>
      <c r="D383" s="408">
        <v>131</v>
      </c>
      <c r="E383" s="408">
        <v>98</v>
      </c>
    </row>
    <row r="384" spans="1:5" ht="15" x14ac:dyDescent="0.15">
      <c r="A384" s="402"/>
      <c r="B384" s="408">
        <v>601</v>
      </c>
      <c r="C384" s="408">
        <v>602</v>
      </c>
      <c r="D384" s="408">
        <v>132</v>
      </c>
      <c r="E384" s="408">
        <v>98</v>
      </c>
    </row>
    <row r="385" spans="1:5" ht="15" x14ac:dyDescent="0.15">
      <c r="A385" s="401"/>
      <c r="B385" s="408">
        <v>603</v>
      </c>
      <c r="C385" s="408">
        <v>604</v>
      </c>
      <c r="D385" s="408">
        <v>133</v>
      </c>
      <c r="E385" s="408">
        <v>99</v>
      </c>
    </row>
    <row r="386" spans="1:5" ht="15" x14ac:dyDescent="0.15">
      <c r="A386" s="402"/>
      <c r="B386" s="408">
        <v>605</v>
      </c>
      <c r="C386" s="408">
        <v>606</v>
      </c>
      <c r="D386" s="408">
        <v>134</v>
      </c>
      <c r="E386" s="408">
        <v>99</v>
      </c>
    </row>
    <row r="387" spans="1:5" ht="15" x14ac:dyDescent="0.15">
      <c r="A387" s="402"/>
      <c r="B387" s="408">
        <v>607</v>
      </c>
      <c r="C387" s="408">
        <v>608</v>
      </c>
      <c r="D387" s="408">
        <v>135</v>
      </c>
      <c r="E387" s="408">
        <v>99</v>
      </c>
    </row>
    <row r="388" spans="1:5" ht="15" x14ac:dyDescent="0.15">
      <c r="A388" s="402"/>
      <c r="B388" s="408">
        <v>609</v>
      </c>
      <c r="C388" s="408">
        <v>610</v>
      </c>
      <c r="D388" s="408">
        <v>136</v>
      </c>
      <c r="E388" s="408">
        <v>99</v>
      </c>
    </row>
    <row r="389" spans="1:5" ht="15" x14ac:dyDescent="0.15">
      <c r="A389" s="403"/>
      <c r="B389" s="408">
        <v>611</v>
      </c>
      <c r="C389" s="408">
        <v>612</v>
      </c>
      <c r="D389" s="408">
        <v>137</v>
      </c>
      <c r="E389" s="408">
        <v>99</v>
      </c>
    </row>
    <row r="390" spans="1:5" ht="15" x14ac:dyDescent="0.15">
      <c r="A390" s="401"/>
      <c r="B390" s="408">
        <v>613</v>
      </c>
      <c r="C390" s="408">
        <v>613</v>
      </c>
      <c r="D390" s="408">
        <v>138</v>
      </c>
      <c r="E390" s="408">
        <v>99</v>
      </c>
    </row>
    <row r="391" spans="1:5" ht="15" x14ac:dyDescent="0.15">
      <c r="A391" s="401"/>
      <c r="B391" s="408">
        <v>614</v>
      </c>
      <c r="C391" s="408">
        <v>615</v>
      </c>
      <c r="D391" s="408">
        <v>139</v>
      </c>
      <c r="E391" s="408">
        <v>99.5</v>
      </c>
    </row>
    <row r="392" spans="1:5" ht="15" x14ac:dyDescent="0.15">
      <c r="A392" s="401"/>
      <c r="B392" s="408">
        <v>616</v>
      </c>
      <c r="C392" s="408">
        <v>617</v>
      </c>
      <c r="D392" s="408">
        <v>140</v>
      </c>
      <c r="E392" s="408">
        <v>99.6</v>
      </c>
    </row>
    <row r="393" spans="1:5" ht="15" x14ac:dyDescent="0.15">
      <c r="A393" s="401"/>
      <c r="B393" s="408">
        <v>618</v>
      </c>
      <c r="C393" s="408">
        <v>619</v>
      </c>
      <c r="D393" s="408">
        <v>141</v>
      </c>
      <c r="E393" s="408">
        <v>99.7</v>
      </c>
    </row>
    <row r="394" spans="1:5" ht="15" x14ac:dyDescent="0.15">
      <c r="A394" s="402"/>
      <c r="B394" s="408">
        <v>620</v>
      </c>
      <c r="C394" s="408">
        <v>621</v>
      </c>
      <c r="D394" s="408">
        <v>142</v>
      </c>
      <c r="E394" s="408">
        <v>99.7</v>
      </c>
    </row>
    <row r="395" spans="1:5" ht="15" x14ac:dyDescent="0.15">
      <c r="A395" s="401"/>
      <c r="B395" s="408">
        <v>622</v>
      </c>
      <c r="C395" s="408">
        <v>624</v>
      </c>
      <c r="D395" s="408">
        <v>143</v>
      </c>
      <c r="E395" s="408">
        <v>99.8</v>
      </c>
    </row>
    <row r="396" spans="1:5" ht="15" x14ac:dyDescent="0.15">
      <c r="A396" s="403"/>
      <c r="B396" s="408">
        <v>625</v>
      </c>
      <c r="C396" s="408">
        <v>628</v>
      </c>
      <c r="D396" s="408">
        <v>144</v>
      </c>
      <c r="E396" s="408">
        <v>99.8</v>
      </c>
    </row>
    <row r="397" spans="1:5" ht="15" x14ac:dyDescent="0.15">
      <c r="A397" s="401"/>
      <c r="B397" s="408">
        <v>629</v>
      </c>
      <c r="C397" s="408">
        <v>632</v>
      </c>
      <c r="D397" s="408">
        <v>145</v>
      </c>
      <c r="E397" s="408">
        <v>99.9</v>
      </c>
    </row>
    <row r="398" spans="1:5" ht="15" x14ac:dyDescent="0.15">
      <c r="A398" s="401"/>
      <c r="B398" s="408">
        <v>633</v>
      </c>
      <c r="C398" s="408">
        <v>636</v>
      </c>
      <c r="D398" s="408">
        <v>146</v>
      </c>
      <c r="E398" s="408">
        <v>99.9</v>
      </c>
    </row>
    <row r="399" spans="1:5" ht="15" x14ac:dyDescent="0.15">
      <c r="A399" s="401"/>
      <c r="B399" s="408">
        <v>637</v>
      </c>
      <c r="C399" s="408">
        <v>639</v>
      </c>
      <c r="D399" s="408">
        <v>147</v>
      </c>
      <c r="E399" s="408">
        <v>99.9</v>
      </c>
    </row>
    <row r="400" spans="1:5" ht="15" x14ac:dyDescent="0.15">
      <c r="A400" s="401"/>
      <c r="B400" s="408">
        <v>640</v>
      </c>
      <c r="C400" s="408">
        <v>651</v>
      </c>
      <c r="D400" s="408">
        <v>148</v>
      </c>
      <c r="E400" s="408">
        <v>99.9</v>
      </c>
    </row>
    <row r="401" spans="1:5" ht="15" x14ac:dyDescent="0.15">
      <c r="A401" s="401"/>
      <c r="B401" s="408">
        <v>652</v>
      </c>
      <c r="C401" s="408">
        <v>663</v>
      </c>
      <c r="D401" s="408">
        <v>149</v>
      </c>
      <c r="E401" s="408">
        <v>99.9</v>
      </c>
    </row>
    <row r="402" spans="1:5" ht="15" x14ac:dyDescent="0.15">
      <c r="A402" s="401"/>
      <c r="B402" s="408">
        <v>664</v>
      </c>
      <c r="C402" s="408">
        <v>675</v>
      </c>
      <c r="D402" s="408">
        <v>150</v>
      </c>
      <c r="E402" s="408" t="s">
        <v>444</v>
      </c>
    </row>
    <row r="403" spans="1:5" ht="15" x14ac:dyDescent="0.15">
      <c r="A403" s="401"/>
      <c r="B403" s="408">
        <v>676</v>
      </c>
      <c r="C403" s="408">
        <v>687</v>
      </c>
      <c r="D403" s="408">
        <v>151</v>
      </c>
      <c r="E403" s="408" t="s">
        <v>444</v>
      </c>
    </row>
    <row r="404" spans="1:5" ht="15" x14ac:dyDescent="0.15">
      <c r="A404" s="401"/>
      <c r="B404" s="408">
        <v>688</v>
      </c>
      <c r="C404" s="408">
        <v>699</v>
      </c>
      <c r="D404" s="408">
        <v>152</v>
      </c>
      <c r="E404" s="408" t="s">
        <v>444</v>
      </c>
    </row>
    <row r="405" spans="1:5" ht="15" x14ac:dyDescent="0.15">
      <c r="A405" s="400"/>
      <c r="B405" s="408">
        <v>700</v>
      </c>
      <c r="C405" s="408">
        <v>711</v>
      </c>
      <c r="D405" s="408">
        <v>153</v>
      </c>
      <c r="E405" s="408" t="s">
        <v>444</v>
      </c>
    </row>
    <row r="406" spans="1:5" ht="15" x14ac:dyDescent="0.15">
      <c r="A406" s="400"/>
      <c r="B406" s="408">
        <v>712</v>
      </c>
      <c r="C406" s="408">
        <v>723</v>
      </c>
      <c r="D406" s="408">
        <v>154</v>
      </c>
      <c r="E406" s="408" t="s">
        <v>444</v>
      </c>
    </row>
    <row r="407" spans="1:5" ht="15" x14ac:dyDescent="0.15">
      <c r="A407" s="400"/>
      <c r="B407" s="408">
        <v>724</v>
      </c>
      <c r="C407" s="408">
        <v>735</v>
      </c>
      <c r="D407" s="408">
        <v>155</v>
      </c>
      <c r="E407" s="408" t="s">
        <v>444</v>
      </c>
    </row>
    <row r="408" spans="1:5" ht="15" x14ac:dyDescent="0.15">
      <c r="A408" s="400"/>
      <c r="B408" s="408">
        <v>736</v>
      </c>
      <c r="C408" s="408">
        <v>748</v>
      </c>
      <c r="D408" s="408">
        <v>156</v>
      </c>
      <c r="E408" s="408" t="s">
        <v>444</v>
      </c>
    </row>
    <row r="409" spans="1:5" ht="15" x14ac:dyDescent="0.15">
      <c r="A409" s="400"/>
      <c r="B409" s="408">
        <v>749</v>
      </c>
      <c r="C409" s="408">
        <v>761</v>
      </c>
      <c r="D409" s="408">
        <v>157</v>
      </c>
      <c r="E409" s="408" t="s">
        <v>444</v>
      </c>
    </row>
    <row r="410" spans="1:5" ht="15" x14ac:dyDescent="0.15">
      <c r="A410" s="400"/>
      <c r="B410" s="408">
        <v>762</v>
      </c>
      <c r="C410" s="408">
        <v>774</v>
      </c>
      <c r="D410" s="408">
        <v>158</v>
      </c>
      <c r="E410" s="408" t="s">
        <v>444</v>
      </c>
    </row>
    <row r="411" spans="1:5" ht="15" x14ac:dyDescent="0.15">
      <c r="A411" s="400"/>
      <c r="B411" s="408">
        <v>775</v>
      </c>
      <c r="C411" s="408">
        <v>787</v>
      </c>
      <c r="D411" s="408">
        <v>159</v>
      </c>
      <c r="E411" s="408" t="s">
        <v>444</v>
      </c>
    </row>
    <row r="412" spans="1:5" ht="15" x14ac:dyDescent="0.15">
      <c r="A412" s="402"/>
      <c r="B412" s="408">
        <v>788</v>
      </c>
      <c r="C412" s="408">
        <v>800</v>
      </c>
      <c r="D412" s="408">
        <v>160</v>
      </c>
      <c r="E412" s="408"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Interview Part 1</vt:lpstr>
      <vt:lpstr>Interview Part 2</vt:lpstr>
      <vt:lpstr>Front Page &amp; Raw Test Scores</vt:lpstr>
      <vt:lpstr>Tests Reporter</vt:lpstr>
      <vt:lpstr>Tests Results Tables</vt:lpstr>
      <vt:lpstr>A-IADL-Q</vt:lpstr>
      <vt:lpstr>Graphs</vt:lpstr>
      <vt:lpstr>TOPF</vt:lpstr>
      <vt:lpstr>Standard Tests</vt:lpstr>
      <vt:lpstr>LR Post-Hoc</vt:lpstr>
      <vt:lpstr>IQCODE Calculator</vt:lpstr>
      <vt:lpstr>Effort</vt:lpstr>
      <vt:lpstr>STW2 Demographic</vt:lpstr>
      <vt:lpstr>RBANS Premorbid Estimator</vt:lpstr>
      <vt:lpstr>P(Word Recog)</vt:lpstr>
      <vt:lpstr>RBANS Discrepancy Analysis</vt:lpstr>
      <vt:lpstr>RBANS Predicted Re-test Scores</vt:lpstr>
      <vt:lpstr>Extended Battery</vt:lpstr>
      <vt:lpstr>Score Convertor</vt:lpstr>
      <vt:lpstr>NPP &amp; PPP Calculator</vt:lpstr>
      <vt:lpstr>Alcohol Calculator</vt:lpstr>
      <vt:lpstr>Do Not Edit</vt:lpstr>
      <vt:lpstr>DNE2</vt:lpstr>
      <vt:lpstr>DNE3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Clive C</dc:creator>
  <cp:lastModifiedBy>Chris Gaskell</cp:lastModifiedBy>
  <cp:lastPrinted>2022-05-27T13:33:46Z</cp:lastPrinted>
  <dcterms:created xsi:type="dcterms:W3CDTF">2022-05-26T12:55:00Z</dcterms:created>
  <dcterms:modified xsi:type="dcterms:W3CDTF">2024-02-23T12:03:24Z</dcterms:modified>
</cp:coreProperties>
</file>