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I:\Resources\Psychological Tests &amp; Measures\"/>
    </mc:Choice>
  </mc:AlternateContent>
  <xr:revisionPtr revIDLastSave="0" documentId="13_ncr:1_{4AC6786E-3538-4ACE-A464-53BD1F35C34B}" xr6:coauthVersionLast="47" xr6:coauthVersionMax="47" xr10:uidLastSave="{00000000-0000-0000-0000-000000000000}"/>
  <bookViews>
    <workbookView xWindow="-120" yWindow="-120" windowWidth="29040" windowHeight="15990" activeTab="5" xr2:uid="{00000000-000D-0000-FFFF-FFFF00000000}"/>
  </bookViews>
  <sheets>
    <sheet name="Overview &amp; Contents" sheetId="1" r:id="rId1"/>
    <sheet name="Bell Curves" sheetId="2" r:id="rId2"/>
    <sheet name="Demographics" sheetId="7" r:id="rId3"/>
    <sheet name="Psychometric Converter" sheetId="17" r:id="rId4"/>
    <sheet name="Visual Psychometric Converter" sheetId="12" r:id="rId5"/>
    <sheet name="TBI Severity &amp; GCS" sheetId="5" r:id="rId6"/>
    <sheet name="AQ50" sheetId="22" r:id="rId7"/>
    <sheet name="ASRS" sheetId="21" r:id="rId8"/>
    <sheet name="CORE-10" sheetId="19" r:id="rId9"/>
    <sheet name="HADS" sheetId="13" r:id="rId10"/>
    <sheet name="Hayling" sheetId="10" r:id="rId11"/>
    <sheet name="RBANS-A" sheetId="11" r:id="rId12"/>
    <sheet name="RBANS-A Effort Scale" sheetId="14" r:id="rId13"/>
    <sheet name="RBANS-A Effort Index WIP" sheetId="20" r:id="rId14"/>
    <sheet name="RME Adult" sheetId="6" r:id="rId15"/>
    <sheet name="WMS-IV" sheetId="4" r:id="rId16"/>
    <sheet name="TOPF" sheetId="16" r:id="rId17"/>
    <sheet name="Template" sheetId="18" r:id="rId18"/>
  </sheets>
  <externalReferences>
    <externalReference r:id="rId1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22" l="1"/>
  <c r="G25" i="22" s="1"/>
  <c r="F20" i="22"/>
  <c r="G20" i="22" s="1"/>
  <c r="F21" i="22"/>
  <c r="G21" i="22" s="1"/>
  <c r="F22" i="22"/>
  <c r="G22" i="22" s="1"/>
  <c r="F24" i="22"/>
  <c r="G24" i="22" s="1"/>
  <c r="F23" i="22"/>
  <c r="H23" i="22" s="1"/>
  <c r="F17" i="22"/>
  <c r="G17" i="22" s="1"/>
  <c r="F12" i="22"/>
  <c r="G12" i="22" s="1"/>
  <c r="F13" i="22"/>
  <c r="G13" i="22" s="1"/>
  <c r="F6" i="22"/>
  <c r="H6" i="22" s="1"/>
  <c r="F7" i="22"/>
  <c r="G7" i="22" s="1"/>
  <c r="F9" i="22"/>
  <c r="G9" i="22" s="1"/>
  <c r="F10" i="22"/>
  <c r="G10" i="22" s="1"/>
  <c r="F11" i="22"/>
  <c r="G11" i="22" s="1"/>
  <c r="F5" i="22"/>
  <c r="G5" i="22" s="1"/>
  <c r="F16" i="22"/>
  <c r="H16" i="22" s="1"/>
  <c r="F8" i="22"/>
  <c r="H8" i="22" s="1"/>
  <c r="H25" i="22" l="1"/>
  <c r="H24" i="22"/>
  <c r="H20" i="22"/>
  <c r="H22" i="22"/>
  <c r="H21" i="22"/>
  <c r="G23" i="22"/>
  <c r="H17" i="22"/>
  <c r="H12" i="22"/>
  <c r="H13" i="22"/>
  <c r="G6" i="22"/>
  <c r="H7" i="22"/>
  <c r="H9" i="22"/>
  <c r="H11" i="22"/>
  <c r="H10" i="22"/>
  <c r="H5" i="22"/>
  <c r="G16" i="22"/>
  <c r="G8" i="22"/>
  <c r="F7" i="21" l="1"/>
  <c r="H7" i="21" s="1"/>
  <c r="F8" i="21"/>
  <c r="H8" i="21" s="1"/>
  <c r="F6" i="21"/>
  <c r="H6" i="21" s="1"/>
  <c r="F5" i="21"/>
  <c r="H5" i="21" s="1"/>
  <c r="F4" i="21"/>
  <c r="H4" i="21" s="1"/>
  <c r="F7" i="7"/>
  <c r="D16" i="4"/>
  <c r="D10" i="4"/>
  <c r="C10" i="4"/>
  <c r="E23" i="17"/>
  <c r="E24" i="17"/>
  <c r="E25" i="17"/>
  <c r="E26" i="17"/>
  <c r="E27" i="17"/>
  <c r="E28" i="17"/>
  <c r="E29" i="17"/>
  <c r="E30" i="17"/>
  <c r="E31" i="17"/>
  <c r="E32" i="17"/>
  <c r="E33" i="17"/>
  <c r="G33" i="17" s="1"/>
  <c r="E34" i="17"/>
  <c r="G24" i="17"/>
  <c r="I17" i="17"/>
  <c r="I18" i="17"/>
  <c r="I19" i="17"/>
  <c r="I20" i="17"/>
  <c r="I21" i="17"/>
  <c r="I22" i="17"/>
  <c r="I23" i="17"/>
  <c r="I25" i="17"/>
  <c r="I26" i="17"/>
  <c r="I27" i="17"/>
  <c r="I29" i="17"/>
  <c r="I30" i="17"/>
  <c r="I31" i="17"/>
  <c r="I32" i="17"/>
  <c r="I34" i="17"/>
  <c r="I16" i="17"/>
  <c r="H17" i="17"/>
  <c r="H18" i="17"/>
  <c r="H19" i="17"/>
  <c r="H20" i="17"/>
  <c r="H21" i="17"/>
  <c r="H22" i="17"/>
  <c r="H23" i="17"/>
  <c r="H25" i="17"/>
  <c r="H26" i="17"/>
  <c r="H27" i="17"/>
  <c r="H29" i="17"/>
  <c r="H30" i="17"/>
  <c r="H31" i="17"/>
  <c r="H32" i="17"/>
  <c r="H34" i="17"/>
  <c r="H16" i="17"/>
  <c r="G17" i="17"/>
  <c r="G18" i="17"/>
  <c r="G19" i="17"/>
  <c r="G20" i="17"/>
  <c r="G21" i="17"/>
  <c r="G22" i="17"/>
  <c r="G23" i="17"/>
  <c r="G25" i="17"/>
  <c r="G26" i="17"/>
  <c r="G27" i="17"/>
  <c r="G29" i="17"/>
  <c r="G30" i="17"/>
  <c r="G31" i="17"/>
  <c r="G32" i="17"/>
  <c r="G34" i="17"/>
  <c r="G16" i="17"/>
  <c r="F17" i="17"/>
  <c r="F18" i="17"/>
  <c r="F19" i="17"/>
  <c r="F20" i="17"/>
  <c r="F21" i="17"/>
  <c r="F22" i="17"/>
  <c r="F23" i="17"/>
  <c r="F25" i="17"/>
  <c r="F26" i="17"/>
  <c r="F27" i="17"/>
  <c r="F29" i="17"/>
  <c r="F30" i="17"/>
  <c r="F31" i="17"/>
  <c r="F32" i="17"/>
  <c r="F34" i="17"/>
  <c r="F15" i="17"/>
  <c r="F16" i="17"/>
  <c r="G15" i="17"/>
  <c r="E19" i="17"/>
  <c r="E21" i="17"/>
  <c r="E22" i="17"/>
  <c r="E20" i="17"/>
  <c r="E15" i="17"/>
  <c r="E17" i="17"/>
  <c r="E18" i="17"/>
  <c r="E16" i="17"/>
  <c r="E6" i="17"/>
  <c r="H6" i="17" s="1"/>
  <c r="I11" i="17"/>
  <c r="I9" i="17"/>
  <c r="H11" i="17"/>
  <c r="G11" i="17"/>
  <c r="E7" i="17"/>
  <c r="F7" i="17" s="1"/>
  <c r="F11" i="17"/>
  <c r="E8" i="17"/>
  <c r="I8" i="17" s="1"/>
  <c r="E9" i="17"/>
  <c r="H9" i="17" s="1"/>
  <c r="E10" i="17"/>
  <c r="F10" i="17" s="1"/>
  <c r="E11" i="17"/>
  <c r="B14" i="14"/>
  <c r="F5" i="17"/>
  <c r="I24" i="17"/>
  <c r="H28" i="17"/>
  <c r="C14" i="14"/>
  <c r="G7" i="21" l="1"/>
  <c r="G6" i="21"/>
  <c r="G8" i="21"/>
  <c r="G4" i="21"/>
  <c r="G5" i="21"/>
  <c r="G8" i="17"/>
  <c r="H7" i="17"/>
  <c r="I7" i="17"/>
  <c r="G7" i="17"/>
  <c r="H33" i="17"/>
  <c r="F33" i="17"/>
  <c r="I33" i="17"/>
  <c r="F24" i="17"/>
  <c r="H24" i="17"/>
  <c r="G28" i="17"/>
  <c r="I28" i="17"/>
  <c r="F28" i="17"/>
  <c r="I6" i="17"/>
  <c r="G6" i="17"/>
  <c r="F6" i="17"/>
  <c r="I10" i="17"/>
  <c r="G10" i="17"/>
  <c r="H10" i="17"/>
  <c r="H8" i="17"/>
  <c r="G9" i="17"/>
  <c r="F9" i="17"/>
  <c r="F8" i="17"/>
  <c r="I15" i="17"/>
  <c r="E8" i="11"/>
  <c r="E5" i="17"/>
  <c r="I5" i="17" s="1"/>
  <c r="H15" i="17" l="1"/>
  <c r="E14" i="7"/>
  <c r="C21" i="7" s="1"/>
  <c r="D33" i="7"/>
  <c r="G5" i="17"/>
  <c r="H5" i="17"/>
  <c r="F6" i="16"/>
  <c r="C17" i="7" l="1"/>
  <c r="C18" i="7"/>
  <c r="C20" i="7"/>
  <c r="C19" i="7"/>
  <c r="C7" i="14"/>
  <c r="C6" i="14"/>
  <c r="Q32" i="11" l="1"/>
  <c r="Q33" i="11"/>
  <c r="Q34" i="11"/>
  <c r="Q29" i="11"/>
  <c r="Q30" i="11"/>
  <c r="Q31" i="11"/>
  <c r="Q28" i="11"/>
  <c r="Q26" i="11"/>
  <c r="Q27" i="11"/>
  <c r="Q24" i="11"/>
  <c r="Q25" i="11"/>
  <c r="Q23" i="11"/>
  <c r="K34" i="11" l="1"/>
  <c r="K32" i="11"/>
  <c r="K33" i="11"/>
  <c r="K30" i="11"/>
  <c r="K31" i="11"/>
  <c r="K28" i="11"/>
  <c r="K29" i="11"/>
  <c r="K26" i="11"/>
  <c r="K27" i="11"/>
  <c r="K24" i="11"/>
  <c r="K25" i="11"/>
  <c r="K23" i="11"/>
  <c r="E26" i="11" l="1"/>
  <c r="E27" i="11"/>
  <c r="E28" i="11"/>
  <c r="E29" i="11"/>
  <c r="E30" i="11"/>
  <c r="E31" i="11"/>
  <c r="E32" i="11"/>
  <c r="E33" i="11"/>
  <c r="E34" i="11"/>
  <c r="E25" i="11"/>
  <c r="E24" i="11"/>
  <c r="E23" i="11"/>
  <c r="Q16" i="11" l="1"/>
  <c r="Q17" i="11"/>
  <c r="Q18" i="11"/>
  <c r="Q19" i="11"/>
  <c r="Q15" i="11"/>
  <c r="Q14" i="11"/>
  <c r="Q13" i="11"/>
  <c r="Q12" i="11"/>
  <c r="Q11" i="11"/>
  <c r="Q10" i="11"/>
  <c r="Q9" i="11"/>
  <c r="Q8" i="11"/>
  <c r="K19" i="11"/>
  <c r="K18" i="11"/>
  <c r="K17" i="11"/>
  <c r="K16" i="11"/>
  <c r="K15" i="11"/>
  <c r="K14" i="11"/>
  <c r="K13" i="11"/>
  <c r="K12" i="11"/>
  <c r="K11" i="11"/>
  <c r="K10" i="11"/>
  <c r="K9" i="11"/>
  <c r="K8" i="11"/>
  <c r="E37" i="13" l="1"/>
  <c r="G37" i="13" s="1"/>
  <c r="E36" i="13"/>
  <c r="G36" i="13" s="1"/>
  <c r="E35" i="13"/>
  <c r="G35" i="13" s="1"/>
  <c r="E34" i="13"/>
  <c r="G34" i="13" s="1"/>
  <c r="E33" i="13"/>
  <c r="G33" i="13" s="1"/>
  <c r="E30" i="13"/>
  <c r="G30" i="13" s="1"/>
  <c r="E29" i="13"/>
  <c r="G29" i="13" s="1"/>
  <c r="E28" i="13"/>
  <c r="G28" i="13" s="1"/>
  <c r="E27" i="13"/>
  <c r="G27" i="13" s="1"/>
  <c r="E26" i="13"/>
  <c r="G26" i="13" s="1"/>
  <c r="E11" i="13"/>
  <c r="F11" i="13" s="1"/>
  <c r="E12" i="13"/>
  <c r="F12" i="13" s="1"/>
  <c r="E13" i="13"/>
  <c r="F13" i="13" s="1"/>
  <c r="E14" i="13"/>
  <c r="F14" i="13" s="1"/>
  <c r="E10" i="13"/>
  <c r="H10" i="13" s="1"/>
  <c r="E17" i="13"/>
  <c r="H17" i="13" s="1"/>
  <c r="E18" i="13"/>
  <c r="H18" i="13" s="1"/>
  <c r="E19" i="13"/>
  <c r="H19" i="13" s="1"/>
  <c r="E20" i="13"/>
  <c r="H20" i="13" s="1"/>
  <c r="E21" i="13"/>
  <c r="H21" i="13" s="1"/>
  <c r="F34" i="13" l="1"/>
  <c r="F28" i="13"/>
  <c r="H37" i="13"/>
  <c r="G17" i="13"/>
  <c r="F17" i="13"/>
  <c r="H28" i="13"/>
  <c r="F30" i="13"/>
  <c r="H29" i="13"/>
  <c r="F26" i="13"/>
  <c r="H34" i="13"/>
  <c r="F37" i="13"/>
  <c r="H33" i="13"/>
  <c r="F33" i="13"/>
  <c r="H27" i="13"/>
  <c r="H26" i="13"/>
  <c r="F29" i="13"/>
  <c r="H30" i="13"/>
  <c r="F27" i="13"/>
  <c r="F35" i="13"/>
  <c r="H36" i="13"/>
  <c r="F36" i="13"/>
  <c r="H35" i="13"/>
  <c r="F20" i="13"/>
  <c r="G20" i="13"/>
  <c r="F19" i="13"/>
  <c r="G19" i="13"/>
  <c r="F10" i="13"/>
  <c r="F18" i="13"/>
  <c r="G18" i="13"/>
  <c r="G10" i="13"/>
  <c r="F21" i="13"/>
  <c r="G21" i="13"/>
  <c r="H14" i="13"/>
  <c r="H13" i="13"/>
  <c r="H12" i="13"/>
  <c r="H11" i="13"/>
  <c r="G14" i="13"/>
  <c r="G13" i="13"/>
  <c r="G12" i="13"/>
  <c r="G11" i="13"/>
  <c r="E19" i="11"/>
  <c r="E18" i="11"/>
  <c r="E17" i="11"/>
  <c r="E16" i="11"/>
  <c r="E15" i="11"/>
  <c r="E14" i="11"/>
  <c r="E13" i="11"/>
  <c r="E12" i="11"/>
  <c r="E11" i="11"/>
  <c r="E10" i="11"/>
  <c r="E9" i="11"/>
  <c r="C14" i="4" l="1"/>
  <c r="D14" i="4" s="1"/>
  <c r="C16" i="4" s="1"/>
  <c r="C15" i="4"/>
  <c r="F15" i="4" s="1"/>
  <c r="D15" i="4"/>
  <c r="C8" i="4"/>
  <c r="D8" i="4"/>
  <c r="C9" i="4"/>
  <c r="F9" i="4" s="1"/>
  <c r="D9" i="4"/>
  <c r="E9" i="4"/>
  <c r="F8" i="4"/>
  <c r="E8" i="4"/>
  <c r="M14" i="12"/>
  <c r="M15" i="12" s="1"/>
  <c r="M16" i="12" s="1"/>
  <c r="D4" i="12" s="1"/>
  <c r="N12" i="12"/>
  <c r="M12" i="12"/>
  <c r="L12" i="12"/>
  <c r="O11" i="12"/>
  <c r="N11" i="12"/>
  <c r="M11" i="12"/>
  <c r="L11" i="12"/>
  <c r="R34" i="11"/>
  <c r="L34" i="11"/>
  <c r="G34" i="11"/>
  <c r="R19" i="11"/>
  <c r="L19" i="11"/>
  <c r="G19" i="11"/>
  <c r="S33" i="11"/>
  <c r="L33" i="11"/>
  <c r="G33" i="11"/>
  <c r="S18" i="11"/>
  <c r="R18" i="11"/>
  <c r="M18" i="11"/>
  <c r="F18" i="11"/>
  <c r="S32" i="11"/>
  <c r="L32" i="11"/>
  <c r="G32" i="11"/>
  <c r="S17" i="11"/>
  <c r="L17" i="11"/>
  <c r="F17" i="11"/>
  <c r="S31" i="11"/>
  <c r="M31" i="11"/>
  <c r="G31" i="11"/>
  <c r="F31" i="11"/>
  <c r="R16" i="11"/>
  <c r="M16" i="11"/>
  <c r="G16" i="11"/>
  <c r="S30" i="11"/>
  <c r="L30" i="11"/>
  <c r="G30" i="11"/>
  <c r="S15" i="11"/>
  <c r="R15" i="11"/>
  <c r="M15" i="11"/>
  <c r="F15" i="11"/>
  <c r="G15" i="11"/>
  <c r="S29" i="11"/>
  <c r="M29" i="11"/>
  <c r="G29" i="11"/>
  <c r="S14" i="11"/>
  <c r="M14" i="11"/>
  <c r="G14" i="11"/>
  <c r="S28" i="11"/>
  <c r="M28" i="11"/>
  <c r="G28" i="11"/>
  <c r="S13" i="11"/>
  <c r="M13" i="11"/>
  <c r="F13" i="11"/>
  <c r="S27" i="11"/>
  <c r="L27" i="11"/>
  <c r="F27" i="11"/>
  <c r="R12" i="11"/>
  <c r="S12" i="11"/>
  <c r="M12" i="11"/>
  <c r="G12" i="11"/>
  <c r="R26" i="11"/>
  <c r="L26" i="11"/>
  <c r="G26" i="11"/>
  <c r="R11" i="11"/>
  <c r="L11" i="11"/>
  <c r="G11" i="11"/>
  <c r="R25" i="11"/>
  <c r="M25" i="11"/>
  <c r="F25" i="11"/>
  <c r="G25" i="11"/>
  <c r="R10" i="11"/>
  <c r="L10" i="11"/>
  <c r="F10" i="11"/>
  <c r="S24" i="11"/>
  <c r="M24" i="11"/>
  <c r="G24" i="11"/>
  <c r="S9" i="11"/>
  <c r="L9" i="11"/>
  <c r="F9" i="11"/>
  <c r="S23" i="11"/>
  <c r="M23" i="11"/>
  <c r="G23" i="11"/>
  <c r="R8" i="11"/>
  <c r="M8" i="11"/>
  <c r="G8" i="11"/>
  <c r="F9" i="10"/>
  <c r="G9" i="10" s="1"/>
  <c r="F8" i="10"/>
  <c r="I8" i="10" s="1"/>
  <c r="F7" i="10"/>
  <c r="H7" i="10" s="1"/>
  <c r="F6" i="10"/>
  <c r="I6" i="10" s="1"/>
  <c r="F5" i="10"/>
  <c r="I5" i="10" s="1"/>
  <c r="C7" i="7"/>
  <c r="F22" i="6"/>
  <c r="H22" i="6" s="1"/>
  <c r="F24" i="6"/>
  <c r="H24" i="6" s="1"/>
  <c r="F26" i="6"/>
  <c r="H26" i="6" s="1"/>
  <c r="F28" i="6"/>
  <c r="G28" i="6" s="1"/>
  <c r="F20" i="6"/>
  <c r="H20" i="6" s="1"/>
  <c r="G22" i="6"/>
  <c r="F5" i="6"/>
  <c r="H5" i="6" s="1"/>
  <c r="R23" i="11"/>
  <c r="F26" i="11"/>
  <c r="R27" i="11"/>
  <c r="F28" i="11"/>
  <c r="R29" i="11"/>
  <c r="F30" i="11"/>
  <c r="L16" i="11"/>
  <c r="R33" i="11"/>
  <c r="F34" i="11"/>
  <c r="J9" i="10"/>
  <c r="F6" i="6"/>
  <c r="H6" i="6" s="1"/>
  <c r="F7" i="6"/>
  <c r="H7" i="6" s="1"/>
  <c r="F9" i="6"/>
  <c r="G9" i="6" s="1"/>
  <c r="F10" i="6"/>
  <c r="H10" i="6" s="1"/>
  <c r="F11" i="6"/>
  <c r="G11" i="6" s="1"/>
  <c r="F13" i="6"/>
  <c r="G13" i="6" s="1"/>
  <c r="F15" i="6"/>
  <c r="H15" i="6" s="1"/>
  <c r="I9" i="10" l="1"/>
  <c r="F14" i="4"/>
  <c r="E14" i="4"/>
  <c r="H28" i="6"/>
  <c r="G24" i="6"/>
  <c r="H9" i="10"/>
  <c r="H8" i="10"/>
  <c r="J8" i="10"/>
  <c r="G6" i="10"/>
  <c r="H6" i="10"/>
  <c r="J6" i="10"/>
  <c r="F10" i="4"/>
  <c r="E10" i="4"/>
  <c r="M19" i="12"/>
  <c r="M20" i="12"/>
  <c r="P20" i="12" s="1"/>
  <c r="F16" i="4"/>
  <c r="E16" i="4"/>
  <c r="H5" i="10"/>
  <c r="G7" i="6"/>
  <c r="G26" i="6"/>
  <c r="G8" i="10"/>
  <c r="H11" i="6"/>
  <c r="G10" i="6"/>
  <c r="I7" i="10"/>
  <c r="G5" i="6"/>
  <c r="G5" i="10"/>
  <c r="G20" i="6"/>
  <c r="G7" i="10"/>
  <c r="J5" i="10"/>
  <c r="J7" i="10"/>
  <c r="E15" i="4"/>
  <c r="D14" i="7"/>
  <c r="C33" i="7"/>
  <c r="G15" i="6"/>
  <c r="G6" i="6"/>
  <c r="H13" i="6"/>
  <c r="H9" i="6"/>
  <c r="L28" i="11"/>
  <c r="F24" i="11"/>
  <c r="S26" i="11"/>
  <c r="L29" i="11"/>
  <c r="M34" i="11"/>
  <c r="S25" i="11"/>
  <c r="R14" i="11"/>
  <c r="M32" i="11"/>
  <c r="L24" i="11"/>
  <c r="M10" i="11"/>
  <c r="G27" i="11"/>
  <c r="R17" i="11"/>
  <c r="M33" i="11"/>
  <c r="R30" i="11"/>
  <c r="F33" i="11"/>
  <c r="S19" i="11"/>
  <c r="S11" i="11"/>
  <c r="M26" i="11"/>
  <c r="L31" i="11"/>
  <c r="M17" i="11"/>
  <c r="R32" i="11"/>
  <c r="S10" i="11"/>
  <c r="M27" i="11"/>
  <c r="S34" i="11"/>
  <c r="M9" i="11"/>
  <c r="M11" i="11"/>
  <c r="S8" i="11"/>
  <c r="L23" i="11"/>
  <c r="R9" i="11"/>
  <c r="R13" i="11"/>
  <c r="R28" i="11"/>
  <c r="F29" i="11"/>
  <c r="M30" i="11"/>
  <c r="S16" i="11"/>
  <c r="L12" i="11"/>
  <c r="F32" i="11"/>
  <c r="R24" i="11"/>
  <c r="L25" i="11"/>
  <c r="R31" i="11"/>
  <c r="F11" i="11"/>
  <c r="M19" i="11"/>
  <c r="F23" i="11"/>
  <c r="L18" i="11"/>
  <c r="L15" i="11"/>
  <c r="L14" i="11"/>
  <c r="L13" i="11"/>
  <c r="L8" i="11"/>
  <c r="F14" i="11"/>
  <c r="G13" i="11"/>
  <c r="F12" i="11"/>
  <c r="G10" i="11"/>
  <c r="G18" i="11"/>
  <c r="F19" i="11"/>
  <c r="F8" i="11"/>
  <c r="G9" i="11"/>
  <c r="F16" i="11"/>
  <c r="G17" i="11"/>
  <c r="P23" i="12" l="1"/>
  <c r="P25" i="12"/>
  <c r="P29" i="12"/>
  <c r="P27" i="12"/>
  <c r="P21" i="12"/>
  <c r="P24" i="12"/>
  <c r="P26" i="12"/>
  <c r="P22" i="12"/>
  <c r="P28" i="12"/>
  <c r="C25" i="7"/>
  <c r="C24" i="7"/>
  <c r="C23" i="7"/>
  <c r="E33" i="7"/>
  <c r="P30" i="12" l="1"/>
  <c r="Q30" i="12" s="1"/>
  <c r="M21" i="12" s="1"/>
  <c r="L18"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4" authorId="0" shapeId="0" xr:uid="{00000000-0006-0000-0300-000001000000}">
      <text>
        <r>
          <rPr>
            <b/>
            <sz val="9"/>
            <color indexed="81"/>
            <rFont val="Tahoma"/>
            <family val="2"/>
          </rPr>
          <t>Tom Michael:</t>
        </r>
        <r>
          <rPr>
            <sz val="9"/>
            <color indexed="81"/>
            <rFont val="Tahoma"/>
            <family val="2"/>
          </rPr>
          <t xml:space="preserve">
Multiply Z-Score by SD (10) and add Mean (50)</t>
        </r>
      </text>
    </comment>
    <comment ref="H4" authorId="0" shapeId="0" xr:uid="{00000000-0006-0000-0300-000002000000}">
      <text>
        <r>
          <rPr>
            <b/>
            <sz val="9"/>
            <color indexed="81"/>
            <rFont val="Tahoma"/>
            <family val="2"/>
          </rPr>
          <t xml:space="preserve">Tom Michael:
</t>
        </r>
        <r>
          <rPr>
            <sz val="9"/>
            <color indexed="81"/>
            <rFont val="Tahoma"/>
            <family val="2"/>
          </rPr>
          <t xml:space="preserve">Multiply Z-Score by SD (15) and add Mean (100)
</t>
        </r>
      </text>
    </comment>
    <comment ref="F14" authorId="0" shapeId="0" xr:uid="{00000000-0006-0000-0300-000003000000}">
      <text>
        <r>
          <rPr>
            <b/>
            <sz val="9"/>
            <color indexed="81"/>
            <rFont val="Tahoma"/>
            <family val="2"/>
          </rPr>
          <t>Tom Michael:</t>
        </r>
        <r>
          <rPr>
            <sz val="9"/>
            <color indexed="81"/>
            <rFont val="Tahoma"/>
            <family val="2"/>
          </rPr>
          <t xml:space="preserve">
Multiply Z-Score by SD (10) and add Mean (50)</t>
        </r>
      </text>
    </comment>
    <comment ref="H14" authorId="0" shapeId="0" xr:uid="{00000000-0006-0000-0300-000004000000}">
      <text>
        <r>
          <rPr>
            <b/>
            <sz val="9"/>
            <color indexed="81"/>
            <rFont val="Tahoma"/>
            <family val="2"/>
          </rPr>
          <t xml:space="preserve">Tom Michael:
</t>
        </r>
        <r>
          <rPr>
            <sz val="9"/>
            <color indexed="81"/>
            <rFont val="Tahoma"/>
            <family val="2"/>
          </rPr>
          <t xml:space="preserve">Multiply Z-Score by SD (15) and add Mean (100)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4" authorId="0" shapeId="0" xr:uid="{00000000-0006-0000-0700-000001000000}">
      <text>
        <r>
          <rPr>
            <b/>
            <sz val="9"/>
            <color indexed="81"/>
            <rFont val="Tahoma"/>
            <family val="2"/>
          </rPr>
          <t>Tom Michael:</t>
        </r>
        <r>
          <rPr>
            <sz val="9"/>
            <color indexed="81"/>
            <rFont val="Tahoma"/>
            <family val="2"/>
          </rPr>
          <t xml:space="preserve">
Multiply Z-Score by SD (10) and add Mean (50)</t>
        </r>
      </text>
    </comment>
    <comment ref="I4" authorId="0" shapeId="0" xr:uid="{00000000-0006-0000-0700-000002000000}">
      <text>
        <r>
          <rPr>
            <b/>
            <sz val="9"/>
            <color indexed="81"/>
            <rFont val="Tahoma"/>
            <family val="2"/>
          </rPr>
          <t xml:space="preserve">Tom Michael:
</t>
        </r>
        <r>
          <rPr>
            <sz val="9"/>
            <color indexed="81"/>
            <rFont val="Tahoma"/>
            <family val="2"/>
          </rPr>
          <t xml:space="preserve">Multiply Z-Score by SD (15) and add Mean (100)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6" authorId="0" shapeId="0" xr:uid="{00000000-0006-0000-0900-000001000000}">
      <text>
        <r>
          <rPr>
            <b/>
            <sz val="9"/>
            <color indexed="81"/>
            <rFont val="Tahoma"/>
            <family val="2"/>
          </rPr>
          <t xml:space="preserve">Tom Michael:
&lt;9 cutoff for FAIL
</t>
        </r>
        <r>
          <rPr>
            <sz val="9"/>
            <color indexed="81"/>
            <rFont val="Tahoma"/>
            <family val="2"/>
          </rPr>
          <t xml:space="preserve">
</t>
        </r>
      </text>
    </comment>
    <comment ref="A7" authorId="0" shapeId="0" xr:uid="{00000000-0006-0000-0900-000002000000}">
      <text>
        <r>
          <rPr>
            <b/>
            <sz val="9"/>
            <color indexed="81"/>
            <rFont val="Tahoma"/>
            <family val="2"/>
          </rPr>
          <t>Tom Michael:
&lt;19 cutoff for FAIL</t>
        </r>
        <r>
          <rPr>
            <sz val="9"/>
            <color indexed="81"/>
            <rFont val="Tahoma"/>
            <family val="2"/>
          </rPr>
          <t xml:space="preserve">
</t>
        </r>
      </text>
    </comment>
    <comment ref="A14" authorId="0" shapeId="0" xr:uid="{00000000-0006-0000-0900-000003000000}">
      <text>
        <r>
          <rPr>
            <b/>
            <sz val="9"/>
            <color indexed="81"/>
            <rFont val="Tahoma"/>
            <family val="2"/>
          </rPr>
          <t>Tom Michael:
Only use if Digit Span or List Recognition are failed
&lt;12 cutoff is FAIL</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6" authorId="0" shapeId="0" xr:uid="{6EBB21D6-2338-48C5-839D-D73846F12311}">
      <text>
        <r>
          <rPr>
            <b/>
            <sz val="9"/>
            <color indexed="81"/>
            <rFont val="Tahoma"/>
            <family val="2"/>
          </rPr>
          <t xml:space="preserve">Tom Michael:
&lt;9 cutoff for FAIL
</t>
        </r>
        <r>
          <rPr>
            <sz val="9"/>
            <color indexed="81"/>
            <rFont val="Tahoma"/>
            <family val="2"/>
          </rPr>
          <t xml:space="preserve">
</t>
        </r>
      </text>
    </comment>
    <comment ref="A7" authorId="0" shapeId="0" xr:uid="{8CDCFC82-108D-46F7-AD2C-818AEEDBEE92}">
      <text>
        <r>
          <rPr>
            <b/>
            <sz val="9"/>
            <color indexed="81"/>
            <rFont val="Tahoma"/>
            <family val="2"/>
          </rPr>
          <t>Tom Michael:
&lt;19 cutoff for FAIL</t>
        </r>
        <r>
          <rPr>
            <sz val="9"/>
            <color indexed="81"/>
            <rFont val="Tahoma"/>
            <family val="2"/>
          </rPr>
          <t xml:space="preserve">
</t>
        </r>
      </text>
    </comment>
    <comment ref="A14" authorId="0" shapeId="0" xr:uid="{696F14CC-7A33-4906-923C-7FDDB01D21D4}">
      <text>
        <r>
          <rPr>
            <b/>
            <sz val="9"/>
            <color indexed="81"/>
            <rFont val="Tahoma"/>
            <family val="2"/>
          </rPr>
          <t>Tom Michael:
Only use if Digit Span or List Recognition are failed
&lt;12 cutoff is FAIL</t>
        </r>
        <r>
          <rPr>
            <sz val="9"/>
            <color indexed="81"/>
            <rFont val="Tahoma"/>
            <family val="2"/>
          </rPr>
          <t xml:space="preserve">
</t>
        </r>
      </text>
    </comment>
  </commentList>
</comments>
</file>

<file path=xl/sharedStrings.xml><?xml version="1.0" encoding="utf-8"?>
<sst xmlns="http://schemas.openxmlformats.org/spreadsheetml/2006/main" count="623" uniqueCount="367">
  <si>
    <t>RME - Reading the Mind in the Eyes - Adult Version</t>
  </si>
  <si>
    <t>Mean</t>
  </si>
  <si>
    <t>SD</t>
  </si>
  <si>
    <t>Student Male Norms</t>
  </si>
  <si>
    <t>Student Female Norms</t>
  </si>
  <si>
    <t>Student Both Genders Norms</t>
  </si>
  <si>
    <t>Non-student Male Norms</t>
  </si>
  <si>
    <t>Non-student Female Norms</t>
  </si>
  <si>
    <t>AS/HFA Adult Norms</t>
  </si>
  <si>
    <t>Non-student both Genders Norms</t>
  </si>
  <si>
    <t>IQ Match both gender Norms</t>
  </si>
  <si>
    <t>Standard Score</t>
  </si>
  <si>
    <t>Percentile</t>
  </si>
  <si>
    <t>Z-Score</t>
  </si>
  <si>
    <t>ENTER RAW SCORE HERE</t>
  </si>
  <si>
    <t xml:space="preserve">Number of Participants n = </t>
  </si>
  <si>
    <t>Notes</t>
  </si>
  <si>
    <t>Norms based on 36 item Reading the Mind in the Eyes Revised version study (Baron-Cohen et al., 2001)</t>
  </si>
  <si>
    <t>20-29</t>
  </si>
  <si>
    <t>30-39</t>
  </si>
  <si>
    <t>40-49</t>
  </si>
  <si>
    <t>50-59</t>
  </si>
  <si>
    <t>60+</t>
  </si>
  <si>
    <t>Norms based on 36 item Reading the Mind in the Eyes Revised version study (Kynast et al., 2021) - German Population Study</t>
  </si>
  <si>
    <t>Participant Group</t>
  </si>
  <si>
    <t>Participant Age Group</t>
  </si>
  <si>
    <t>To add to Spreadsheet and Update</t>
  </si>
  <si>
    <t>Find My Old Spreadsheet</t>
  </si>
  <si>
    <t>Find Chris's spreadsheet</t>
  </si>
  <si>
    <t>Abbey Pain Scale</t>
  </si>
  <si>
    <t>Other psychometric measures here (Observer based report scales) http://www.tbims.org/combi/list.html</t>
  </si>
  <si>
    <t>WMS formula from Dave</t>
  </si>
  <si>
    <t>See John Crawford's Statistical Programmes and Papers for Neuropsychological Assessment:</t>
  </si>
  <si>
    <t>https://homepages.abdn.ac.uk/j.crawford/pages/dept/psychom.htm</t>
  </si>
  <si>
    <t>Bell Curves and Normal Distributions of Psychometric Abilities</t>
  </si>
  <si>
    <t>Percentile Range</t>
  </si>
  <si>
    <t>Interpretation</t>
  </si>
  <si>
    <t>131+</t>
  </si>
  <si>
    <t>98th+</t>
  </si>
  <si>
    <t>Very Superior</t>
  </si>
  <si>
    <t>121-130</t>
  </si>
  <si>
    <t>92nd to 98th</t>
  </si>
  <si>
    <t>Superior</t>
  </si>
  <si>
    <t>111-120</t>
  </si>
  <si>
    <t>77th to 91st</t>
  </si>
  <si>
    <t>High Average</t>
  </si>
  <si>
    <t>90-110</t>
  </si>
  <si>
    <t>25th to 75th</t>
  </si>
  <si>
    <t>Average</t>
  </si>
  <si>
    <t>80-89</t>
  </si>
  <si>
    <t>9th to 23rd</t>
  </si>
  <si>
    <t>Low Average</t>
  </si>
  <si>
    <t>70-79</t>
  </si>
  <si>
    <t>2nd to 8th</t>
  </si>
  <si>
    <t>Borderline range of impairment</t>
  </si>
  <si>
    <t>40-69</t>
  </si>
  <si>
    <t>&lt;0.1st to 2nd</t>
  </si>
  <si>
    <t>Extremely low range</t>
  </si>
  <si>
    <t>Consider using the WAIS-IV Interpretations for ALL neuropsych tests</t>
  </si>
  <si>
    <t xml:space="preserve">with standard scores and percentiles, to avoid confusion of different </t>
  </si>
  <si>
    <t>interpretive labels, sometimes used by other tests.</t>
  </si>
  <si>
    <t>WAIS-IV Standard Qualitative Interpretation Descriptors</t>
  </si>
  <si>
    <t>ENTER HERE</t>
  </si>
  <si>
    <t>Date of Birth</t>
  </si>
  <si>
    <t>Age When</t>
  </si>
  <si>
    <t>Test Date</t>
  </si>
  <si>
    <t>Age when Tested</t>
  </si>
  <si>
    <t>Test or Index Domain</t>
  </si>
  <si>
    <t>Raw Score - ENTER HERE</t>
  </si>
  <si>
    <t>Mean -      ENTER HERE</t>
  </si>
  <si>
    <t>SD -             ENTER HERE</t>
  </si>
  <si>
    <t>T-Score</t>
  </si>
  <si>
    <t>Scaled Score</t>
  </si>
  <si>
    <t>E.g. Digit Span Forwards</t>
  </si>
  <si>
    <t>E.g. Digit Span Backwards</t>
  </si>
  <si>
    <t>ANY Z SCORE</t>
  </si>
  <si>
    <t>ANY T SCORE</t>
  </si>
  <si>
    <t>ANY WAIS SCALED SCORE</t>
  </si>
  <si>
    <t>ANY STANDARD SCORE</t>
  </si>
  <si>
    <t>ANY STEN SCORE</t>
  </si>
  <si>
    <t>Reference From:</t>
  </si>
  <si>
    <t>https://www.uspharmacist.com/article/managing-neuropsychiatric-symptoms-in-traumatic-brain-injury</t>
  </si>
  <si>
    <t>See also Mild-Complicated TBI</t>
  </si>
  <si>
    <t>Some classification systems argue that LOC &gt; 24 hours is required for severe</t>
  </si>
  <si>
    <t>Severe TBI do not always present as coma or unconscious state</t>
  </si>
  <si>
    <t>Note - Severity of TBI/ABI should not be calculated from GCS alone, but should also take into account length of PTA</t>
  </si>
  <si>
    <t>Table of Contents</t>
  </si>
  <si>
    <t>Tab Name</t>
  </si>
  <si>
    <t>Bell Curves</t>
  </si>
  <si>
    <t>Normally Distributed Traits</t>
  </si>
  <si>
    <t>Contents</t>
  </si>
  <si>
    <t>Traumatic Brain Injury Severity</t>
  </si>
  <si>
    <t>Glasgow Coma Scale (GCS) and severity tables</t>
  </si>
  <si>
    <t>Hayling and Brixton Test</t>
  </si>
  <si>
    <t>(A) Sensible Completion</t>
  </si>
  <si>
    <t>(B) Unconnected Completion</t>
  </si>
  <si>
    <t>(C) Hayling 2 Errors</t>
  </si>
  <si>
    <t>Hayling Overall Score A+B+C</t>
  </si>
  <si>
    <t>Hayling Test Results</t>
  </si>
  <si>
    <t>Subtest</t>
  </si>
  <si>
    <t>Standard Score &amp; Percentile</t>
  </si>
  <si>
    <t>Average range, not impaired</t>
  </si>
  <si>
    <t>103 - 59th</t>
  </si>
  <si>
    <t>Hayling</t>
  </si>
  <si>
    <t>Hayling Test of EF</t>
  </si>
  <si>
    <t>STEN score converter, results table template</t>
  </si>
  <si>
    <t>Enter raw values into</t>
  </si>
  <si>
    <t>"Raw" column for age</t>
  </si>
  <si>
    <t>range category</t>
  </si>
  <si>
    <t>Age 20-39</t>
  </si>
  <si>
    <t>Age 40-49</t>
  </si>
  <si>
    <t>Age 50-59</t>
  </si>
  <si>
    <t>Age 60-69</t>
  </si>
  <si>
    <t>Age 70-79</t>
  </si>
  <si>
    <t>Age 80-89</t>
  </si>
  <si>
    <t>Raw</t>
  </si>
  <si>
    <t>Z</t>
  </si>
  <si>
    <t>Index</t>
  </si>
  <si>
    <t>%ile</t>
  </si>
  <si>
    <t>List Learning</t>
  </si>
  <si>
    <t>Story Memory</t>
  </si>
  <si>
    <t>Figure Copy</t>
  </si>
  <si>
    <t>Line Orientation</t>
  </si>
  <si>
    <t>Picture Naming</t>
  </si>
  <si>
    <t>Semantic Fluency</t>
  </si>
  <si>
    <t>Digit Span</t>
  </si>
  <si>
    <t>Coding</t>
  </si>
  <si>
    <t>List Recall</t>
  </si>
  <si>
    <t>List Recognition</t>
  </si>
  <si>
    <t>Story Recall</t>
  </si>
  <si>
    <t>Figure Recall</t>
  </si>
  <si>
    <t>Digit Span Raw</t>
  </si>
  <si>
    <t>List Recognition Raw</t>
  </si>
  <si>
    <t>Effort Scale (ES)</t>
  </si>
  <si>
    <t>Extremely low range, i.e. impaired</t>
  </si>
  <si>
    <t>RBANS-A</t>
  </si>
  <si>
    <t>RME Adult</t>
  </si>
  <si>
    <t>Reading the Mind in the Eyes Adult</t>
  </si>
  <si>
    <t>z (0,1)</t>
  </si>
  <si>
    <t>→</t>
  </si>
  <si>
    <t>Stanine (5,2)</t>
  </si>
  <si>
    <t>Sten (5.5,2)</t>
  </si>
  <si>
    <t>Scaled (10,3)</t>
  </si>
  <si>
    <t>T (50,10)</t>
  </si>
  <si>
    <t>NCE(50,21.06)</t>
  </si>
  <si>
    <t>Index (100,15)</t>
  </si>
  <si>
    <t>Old SB Index (100,16)</t>
  </si>
  <si>
    <t>Old z</t>
  </si>
  <si>
    <t>New score</t>
  </si>
  <si>
    <t>rounded to nearest integer</t>
  </si>
  <si>
    <t xml:space="preserve">SD        </t>
  </si>
  <si>
    <t xml:space="preserve">Mean   </t>
  </si>
  <si>
    <t>RBANS - Repeatable Battery for the Assessment of Neuropsychological Status -  VERSION A AND UPDATE ONLY</t>
  </si>
  <si>
    <t>ENTER Scores HERE</t>
  </si>
  <si>
    <t>ANY STEN SCORE (Example)</t>
  </si>
  <si>
    <r>
      <t xml:space="preserve">If </t>
    </r>
    <r>
      <rPr>
        <b/>
        <u/>
        <sz val="11"/>
        <color rgb="FFFF0000"/>
        <rFont val="Calibri"/>
        <family val="2"/>
        <scheme val="minor"/>
      </rPr>
      <t>BOTH</t>
    </r>
    <r>
      <rPr>
        <b/>
        <sz val="11"/>
        <color rgb="FFFF0000"/>
        <rFont val="Calibri"/>
        <family val="2"/>
        <scheme val="minor"/>
      </rPr>
      <t xml:space="preserve"> of the above are fails, then use the ES below</t>
    </r>
  </si>
  <si>
    <t>n = 14 is too small for central limit theorem, so can't assume normal distribution but mean isn't higher</t>
  </si>
  <si>
    <t>n = 15 &amp; not Normally distributed so Standard Score and Percentile not applicable for this group</t>
  </si>
  <si>
    <t>https://pubmed.ncbi.nlm.nih.gov/11280420/</t>
  </si>
  <si>
    <t>Notes &amp; Link to study paper</t>
  </si>
  <si>
    <t>Link to download PDF of paper (Kynast et al., 2021)</t>
  </si>
  <si>
    <t>WMS-IV - Wechsler Memory Scale IV</t>
  </si>
  <si>
    <t>Link to downloadable PDF of paper</t>
  </si>
  <si>
    <t>A parsimonious (quick) way to estimate WMS-IV Immediate &amp; Delayed Memory Indices</t>
  </si>
  <si>
    <t>Logical Memory 1 - LM1</t>
  </si>
  <si>
    <t>Visual Reproduction 1 - VR 1</t>
  </si>
  <si>
    <t>Predicted Immediate Memory Index (IMI)</t>
  </si>
  <si>
    <t>Logical Memory 2 - LM2</t>
  </si>
  <si>
    <t>Visual Reproduction 2 - LM2</t>
  </si>
  <si>
    <t>(from Miller, Axelrod &amp; Schutte 2012)</t>
  </si>
  <si>
    <t>Immediate Memory Index (IMI) Predictor from 2 subtests</t>
  </si>
  <si>
    <t>Delayed Memory Index (DMI) Predictor from 2 subtests</t>
  </si>
  <si>
    <t>Enter Scaled Score</t>
  </si>
  <si>
    <t>The Miller et al. (2012) paper also has a 3 item model which includes Verbal Paired Associates tests.</t>
  </si>
  <si>
    <t>However, I've not included that here, as if you also have VPA data you can calculate the Indices as normal using the WMS-IV manual</t>
  </si>
  <si>
    <t>The 3 part model was more a means of providing further evidence of the accuracy of the models so far as I can determine</t>
  </si>
  <si>
    <t>The study authors also adjusted raw scores for age, gender, ethnicity and education, rather than just age as per the WMS-IV manual</t>
  </si>
  <si>
    <t>Predicted Delayed Memory Index (DMI)</t>
  </si>
  <si>
    <t>Note effect size of age from youngest to oldest group is ~1 SD in size, i.e. large</t>
  </si>
  <si>
    <t>Raw Score</t>
  </si>
  <si>
    <t>Traumatic Brain Injury (TBI) Severity &amp; Glasgow Coma Scale (GCS)</t>
  </si>
  <si>
    <t>WMS-IV</t>
  </si>
  <si>
    <t>Wechsler Memory Scale IV</t>
  </si>
  <si>
    <t>Immediate &amp; Delayed Index Predictor</t>
  </si>
  <si>
    <t>Credit to Dr Dave Hacker, Consultant Clinical Neuropsychologist for making me aware of this study</t>
  </si>
  <si>
    <t>HADS - Hospital Anxiety and Depression Rating Scale</t>
  </si>
  <si>
    <t>These scores can also be compared to the cut-offs given in the manual</t>
  </si>
  <si>
    <t>Be aware to interpret items with care, e.g. "I feel slowed down all the time" may not represent low mood in an older person or a person with Parkinson's Disease</t>
  </si>
  <si>
    <t>Always calculate scores for Anxiety and Low Mood separately - although anxiety and low mood often co-occur they are psychometrically distinct constructs for the HADS</t>
  </si>
  <si>
    <t>HADS Anxiety (HADS-A) for MALES</t>
  </si>
  <si>
    <t>HADS Depression (HADS-D) for MALES</t>
  </si>
  <si>
    <t>Enter Low Mood Raw Score here ---&gt;</t>
  </si>
  <si>
    <t>Enter Anxiety Raw Score here ---&gt;</t>
  </si>
  <si>
    <t>Range of 0-7 is considered "Non clinical"</t>
  </si>
  <si>
    <t>Range of 8-10 is considered "Mild"</t>
  </si>
  <si>
    <t>Range of 11-14 is considered "Moderate"</t>
  </si>
  <si>
    <t>Range of 15-21 is considered "Severe"</t>
  </si>
  <si>
    <t>HADS Anxiety (HADS-A) for FEMALES</t>
  </si>
  <si>
    <t>HADS Depression (HADS-D) for FEMALES</t>
  </si>
  <si>
    <t>WAIS-IV Percentile Style Interpretation</t>
  </si>
  <si>
    <t>Average range</t>
  </si>
  <si>
    <t>High Average Range</t>
  </si>
  <si>
    <t>Borderline Range</t>
  </si>
  <si>
    <t>Extremely High Range</t>
  </si>
  <si>
    <t>Average Range</t>
  </si>
  <si>
    <t xml:space="preserve">Use this calculator to calculate standard scores for males and females, based on norms from John Crawford's HADS Calculator Programme </t>
  </si>
  <si>
    <t>LINK to John Crawford's HADS Calculator Programme</t>
  </si>
  <si>
    <t>HADS</t>
  </si>
  <si>
    <t>Hospital Anxiety and Depression Rating Scale</t>
  </si>
  <si>
    <t>(A lot of NHS computers and email systems will not let you run this programme as it’s a .exe file)</t>
  </si>
  <si>
    <r>
      <rPr>
        <b/>
        <sz val="11"/>
        <color rgb="FFFF0000"/>
        <rFont val="Calibri"/>
        <family val="2"/>
        <scheme val="minor"/>
      </rPr>
      <t>HADS Scores for Females</t>
    </r>
    <r>
      <rPr>
        <b/>
        <sz val="11"/>
        <color theme="1"/>
        <rFont val="Calibri"/>
        <family val="2"/>
        <scheme val="minor"/>
      </rPr>
      <t xml:space="preserve"> (John Crawford's norms, based on n = 2205)</t>
    </r>
  </si>
  <si>
    <r>
      <rPr>
        <b/>
        <sz val="11"/>
        <color rgb="FFFF0000"/>
        <rFont val="Calibri"/>
        <family val="2"/>
        <scheme val="minor"/>
      </rPr>
      <t>HADS Scores for Males</t>
    </r>
    <r>
      <rPr>
        <b/>
        <sz val="11"/>
        <color theme="1"/>
        <rFont val="Calibri"/>
        <family val="2"/>
        <scheme val="minor"/>
      </rPr>
      <t xml:space="preserve"> (John Crawford's norms, based on n = 1617)</t>
    </r>
  </si>
  <si>
    <r>
      <rPr>
        <b/>
        <sz val="22"/>
        <color rgb="FFFF0000"/>
        <rFont val="Calibri"/>
        <family val="2"/>
        <scheme val="minor"/>
      </rPr>
      <t>ONLY USE FOR RBANS VERSION A</t>
    </r>
    <r>
      <rPr>
        <b/>
        <sz val="22"/>
        <rFont val="Calibri"/>
        <family val="2"/>
        <scheme val="minor"/>
      </rPr>
      <t xml:space="preserve"> or Version A Update</t>
    </r>
  </si>
  <si>
    <t>Subtest (Range)</t>
  </si>
  <si>
    <t>Visual Psychometric Converter</t>
  </si>
  <si>
    <t>Repeatable Battery for Assessment of Neuropsychological Status A</t>
  </si>
  <si>
    <t>Percentile, Standard Score and Z-score calculators for individual RBANS-A subtests</t>
  </si>
  <si>
    <t>Standard Score &amp; Percentile Calculators based on two different sets of norms</t>
  </si>
  <si>
    <t>Commonly used statistics</t>
  </si>
  <si>
    <t>Enter statistical score and convert to and from commonly used statistics</t>
  </si>
  <si>
    <t>Visual representation of position on normal bell curve</t>
  </si>
  <si>
    <t>TOPF - Test Of Pre-Morbid Function</t>
  </si>
  <si>
    <t>TOPF - Calculation using demographic information</t>
  </si>
  <si>
    <t>Estimated Premorbid FSIQ</t>
  </si>
  <si>
    <t>Enter TOPF Raw Score Here</t>
  </si>
  <si>
    <t xml:space="preserve">* Credit participants with 0.5 years of education for every year of part-time education, prividing that the part time education led to,  or was leading to, a formal qualification. </t>
  </si>
  <si>
    <t>Thanks to Dr Carly Butler, Clinical Psychologist, for sharing this calculator</t>
  </si>
  <si>
    <t>TOPF</t>
  </si>
  <si>
    <t>Test of Pre-Morbid Function</t>
  </si>
  <si>
    <t>Equation with Demographics to calculate Estimated FSIQ score based on TOPF Raw Score</t>
  </si>
  <si>
    <t>Percentile, Standard Score calculator for HADS-A and HADS-D scores for males and females based on norms from John Crawford's norms &amp; calculator</t>
  </si>
  <si>
    <t>Psychometric Converter</t>
  </si>
  <si>
    <t>Raw Scores to Statistical Scores Converter</t>
  </si>
  <si>
    <t>Psychometric Scores to Other Psychometric Scores Converter</t>
  </si>
  <si>
    <t>Enter Sex Here           (F=1, M=2)</t>
  </si>
  <si>
    <t>Left Education</t>
  </si>
  <si>
    <t>Estimated Score</t>
  </si>
  <si>
    <t>VCI</t>
  </si>
  <si>
    <t>PRI</t>
  </si>
  <si>
    <t>WMI</t>
  </si>
  <si>
    <t>PSI</t>
  </si>
  <si>
    <t>IMI</t>
  </si>
  <si>
    <t>DMI</t>
  </si>
  <si>
    <t>VWMI</t>
  </si>
  <si>
    <r>
      <t xml:space="preserve">* Also credit participants with 0.5 years of education for every year of </t>
    </r>
    <r>
      <rPr>
        <b/>
        <sz val="11"/>
        <color rgb="FFFF0000"/>
        <rFont val="Calibri"/>
        <family val="2"/>
      </rPr>
      <t>part-time education</t>
    </r>
    <r>
      <rPr>
        <b/>
        <sz val="11"/>
        <color theme="1"/>
        <rFont val="Calibri"/>
        <family val="2"/>
      </rPr>
      <t xml:space="preserve">, providing that the part time education led to,  or was leading to, a formal qualification. </t>
    </r>
  </si>
  <si>
    <t>Crawford's Demographic Equation</t>
  </si>
  <si>
    <t>Estimated FSIQ</t>
  </si>
  <si>
    <t>Crawford's Social Class Codes</t>
  </si>
  <si>
    <r>
      <rPr>
        <b/>
        <sz val="11"/>
        <color theme="1"/>
        <rFont val="Calibri"/>
        <family val="2"/>
        <scheme val="minor"/>
      </rPr>
      <t>Professionals</t>
    </r>
    <r>
      <rPr>
        <sz val="11"/>
        <color theme="1"/>
        <rFont val="Calibri"/>
        <family val="2"/>
        <scheme val="minor"/>
      </rPr>
      <t xml:space="preserve"> e.g. Architect, Chartered Accountant, Dentist, Doctor, Economist, Lawyer, Lecturer, Pilot, Church Minister</t>
    </r>
  </si>
  <si>
    <r>
      <rPr>
        <b/>
        <sz val="11"/>
        <color theme="1"/>
        <rFont val="Calibri"/>
        <family val="2"/>
        <scheme val="minor"/>
      </rPr>
      <t>Intermediate</t>
    </r>
    <r>
      <rPr>
        <sz val="11"/>
        <color theme="1"/>
        <rFont val="Calibri"/>
        <family val="2"/>
        <scheme val="minor"/>
      </rPr>
      <t xml:space="preserve"> e.g. Computer Programmer, Estate Agent, Librarian, Manager (advertising, public relations, purchasing, marketing), nurse, social worker, teacher</t>
    </r>
  </si>
  <si>
    <r>
      <rPr>
        <b/>
        <sz val="11"/>
        <color theme="1"/>
        <rFont val="Calibri"/>
        <family val="2"/>
        <scheme val="minor"/>
      </rPr>
      <t>Skilled</t>
    </r>
    <r>
      <rPr>
        <sz val="11"/>
        <color theme="1"/>
        <rFont val="Calibri"/>
        <family val="2"/>
        <scheme val="minor"/>
      </rPr>
      <t xml:space="preserve"> e.g. Carpenter, Chef, Clarke, Driver, Electrician, Fireman/woman, hairdresser, plumber, police, sales, secretary, telephone operator, toolmaker</t>
    </r>
  </si>
  <si>
    <r>
      <rPr>
        <b/>
        <sz val="11"/>
        <color theme="1"/>
        <rFont val="Calibri"/>
        <family val="2"/>
        <scheme val="minor"/>
      </rPr>
      <t xml:space="preserve">Semi-skilled </t>
    </r>
    <r>
      <rPr>
        <sz val="11"/>
        <color theme="1"/>
        <rFont val="Calibri"/>
        <family val="2"/>
        <scheme val="minor"/>
      </rPr>
      <t>e.g. Assembly line worker, bar person, fisherman or woman, glazier, hospital porter, storekeeper, receptionist, traffic warden, waiter</t>
    </r>
  </si>
  <si>
    <r>
      <rPr>
        <b/>
        <sz val="11"/>
        <color theme="1"/>
        <rFont val="Calibri"/>
        <family val="2"/>
        <scheme val="minor"/>
      </rPr>
      <t>Unskilled</t>
    </r>
    <r>
      <rPr>
        <sz val="11"/>
        <color theme="1"/>
        <rFont val="Calibri"/>
        <family val="2"/>
        <scheme val="minor"/>
      </rPr>
      <t xml:space="preserve"> e.g. Cleaner, Docker, Kitchen Porter, Labourer, Refuse Collector, Sewage</t>
    </r>
  </si>
  <si>
    <t>Thanks to Dr Laura Meader, Clinical Psychologist, for making me aware of this equation</t>
  </si>
  <si>
    <t>Demographics</t>
  </si>
  <si>
    <t>Age &amp; Years of education calculator, TOPF calculator to estimate FSIQ, IQ Indices and WMS Indices, plus John Crawford's Demographic Equation to estimate FSIQ</t>
  </si>
  <si>
    <t>ENTER TOPF Raw Score Here</t>
  </si>
  <si>
    <t>ENTER Social Class Here (1-5)</t>
  </si>
  <si>
    <t>TOPF WAIS-IV &amp; WMS Estimates  Crawford's Demographic Equation</t>
  </si>
  <si>
    <t>See also the Demographics Tab which has a more detailed calculator with WAIS-IV Index estimates and WMS-IV Index estimates</t>
  </si>
  <si>
    <t>Link to Demographics Tab</t>
  </si>
  <si>
    <r>
      <t xml:space="preserve">Age (In years) </t>
    </r>
    <r>
      <rPr>
        <b/>
        <sz val="11"/>
        <color rgb="FFFF0000"/>
        <rFont val="Calibri"/>
        <family val="2"/>
      </rPr>
      <t>(Calculated from above)</t>
    </r>
  </si>
  <si>
    <r>
      <t xml:space="preserve">Years of Education* </t>
    </r>
    <r>
      <rPr>
        <b/>
        <sz val="11"/>
        <color rgb="FFFF0000"/>
        <rFont val="Calibri"/>
        <family val="2"/>
      </rPr>
      <t>(Calculated from above)</t>
    </r>
  </si>
  <si>
    <r>
      <t xml:space="preserve">Years of Education </t>
    </r>
    <r>
      <rPr>
        <b/>
        <sz val="11"/>
        <color rgb="FFFF0000"/>
        <rFont val="Calibri"/>
        <family val="2"/>
      </rPr>
      <t>(Calculated from above)</t>
    </r>
  </si>
  <si>
    <t>Years of Education*</t>
  </si>
  <si>
    <t>Demographic Equations &amp; TOPF (Test of Pre-Morbid Function) Estimations</t>
  </si>
  <si>
    <t>Thanks to Dr Carly Butler, Clinical Psychologist, for making me aware of this calculator for FSIQ, which I've expanded for other Indices</t>
  </si>
  <si>
    <t>The above calculator is based on equations cited in the TOPF manual</t>
  </si>
  <si>
    <t>USE FOR SUSPECTED Alzheimers Disease (AD) or Mild Cognitive Impairment (MCI) Only</t>
  </si>
  <si>
    <t xml:space="preserve">Enter raw score </t>
  </si>
  <si>
    <t>ENTER Gender (F=1, M=2)</t>
  </si>
  <si>
    <t>ENTER Age (In years)</t>
  </si>
  <si>
    <t>ENTER Education* (In years)</t>
  </si>
  <si>
    <t>TBI Severity &amp; GCS</t>
  </si>
  <si>
    <t xml:space="preserve">      </t>
  </si>
  <si>
    <t>See manual for scoring</t>
  </si>
  <si>
    <t>WAIS-IV Range Standard Qualitative Descriptors</t>
  </si>
  <si>
    <t>103 -  59th</t>
  </si>
  <si>
    <r>
      <rPr>
        <b/>
        <i/>
        <sz val="11"/>
        <color theme="1"/>
        <rFont val="Calibri"/>
        <family val="2"/>
        <scheme val="minor"/>
      </rPr>
      <t>Round down</t>
    </r>
    <r>
      <rPr>
        <sz val="11"/>
        <color theme="1"/>
        <rFont val="Calibri"/>
        <family val="2"/>
        <scheme val="minor"/>
      </rPr>
      <t xml:space="preserve"> time in seconds, i.e. 0 seconds to 0.99 seconds counts as zero, 1.0 seconds to 1.99 seconds counts as 1 etc… </t>
    </r>
    <r>
      <rPr>
        <b/>
        <sz val="11"/>
        <color theme="1"/>
        <rFont val="Calibri"/>
        <family val="2"/>
        <scheme val="minor"/>
      </rPr>
      <t>THEN add times together</t>
    </r>
    <r>
      <rPr>
        <sz val="11"/>
        <color theme="1"/>
        <rFont val="Calibri"/>
        <family val="2"/>
        <scheme val="minor"/>
      </rPr>
      <t xml:space="preserve"> to get raw score</t>
    </r>
  </si>
  <si>
    <t>A, B and C have more psychometric validity individually than when combined</t>
  </si>
  <si>
    <t>Hayling Overall Score</t>
  </si>
  <si>
    <t>RBANS-A-Effort Scale</t>
  </si>
  <si>
    <t>Effort Scale for RBANS A for Older Adults only</t>
  </si>
  <si>
    <t>Effort Scale for people with suspected Dementia or Alzheimer's Disease</t>
  </si>
  <si>
    <t>Multiracial Reading the Mind in the Eyes Adult</t>
  </si>
  <si>
    <t>A New test using different races and genders but psychometrically normed and validated against the original RME</t>
  </si>
  <si>
    <t>MRME - Adult COMING SOON</t>
  </si>
  <si>
    <t>Template Page</t>
  </si>
  <si>
    <t>CORE-10 - Clinical Outcomes in Routine Evaluation - 10 item version</t>
  </si>
  <si>
    <t>Score</t>
  </si>
  <si>
    <t>Healthy</t>
  </si>
  <si>
    <t>0-5</t>
  </si>
  <si>
    <t>6-10</t>
  </si>
  <si>
    <t>Low</t>
  </si>
  <si>
    <t>11-15</t>
  </si>
  <si>
    <t>Mild</t>
  </si>
  <si>
    <t>16-20</t>
  </si>
  <si>
    <t>Moderate</t>
  </si>
  <si>
    <t>21-25</t>
  </si>
  <si>
    <t>Moderate-to Severe</t>
  </si>
  <si>
    <t>26+</t>
  </si>
  <si>
    <t>Severe</t>
  </si>
  <si>
    <t>CORE-10</t>
  </si>
  <si>
    <t>CORE-10 Score Interpretation</t>
  </si>
  <si>
    <t>Clinical Outcomes in Routine Evaluation scale (Assessment &amp; Outcome measure)</t>
  </si>
  <si>
    <r>
      <t xml:space="preserve">RBANS - EFFORT SCALE (ES) - </t>
    </r>
    <r>
      <rPr>
        <b/>
        <sz val="16"/>
        <color rgb="FFFF0000"/>
        <rFont val="Calibri"/>
        <family val="2"/>
        <scheme val="minor"/>
      </rPr>
      <t>VERSION A AND UPDATE ONLY</t>
    </r>
  </si>
  <si>
    <t>Note that Picture Naming and List Recognition are NOT normally distributed</t>
  </si>
  <si>
    <r>
      <rPr>
        <sz val="11"/>
        <color rgb="FFFF0000"/>
        <rFont val="Calibri"/>
        <family val="2"/>
        <scheme val="minor"/>
      </rPr>
      <t>21/02/2023</t>
    </r>
    <r>
      <rPr>
        <sz val="11"/>
        <color theme="1"/>
        <rFont val="Calibri"/>
        <family val="2"/>
        <scheme val="minor"/>
      </rPr>
      <t xml:space="preserve"> - Updated with American Academy of Clinical Neuropsychology Consensus Statement on uniform labelling of performance test scores </t>
    </r>
  </si>
  <si>
    <t>Visual Comparison of various statistics and standard qualitative descriptors</t>
  </si>
  <si>
    <t>&gt;98th</t>
  </si>
  <si>
    <t>Exceptionally High Score</t>
  </si>
  <si>
    <t>American Academy of Clinical Neuropsychology Consensus Statement on uniform labelling of performance test scores (2023)</t>
  </si>
  <si>
    <t>Link to Paper</t>
  </si>
  <si>
    <t>Above Average Score</t>
  </si>
  <si>
    <t>High Average score</t>
  </si>
  <si>
    <t>Average Score</t>
  </si>
  <si>
    <t>Low Average Score</t>
  </si>
  <si>
    <t>Below Average Score</t>
  </si>
  <si>
    <t>Exceptionally Low Score</t>
  </si>
  <si>
    <t xml:space="preserve">Thus, whilst performance at e.g. 6th percentile might not count as impairment in the WAIS-IV qualitative descriptors above, this might make it impossible for some people, e.g. Consultant Neurosurgeon, to adequately function in their role, with implications for retirement, compensation etc...  </t>
  </si>
  <si>
    <t>Describing 6th percentile as "borderline impaired" could obscure this from non psychologists who might not understand the relative level of impairment.</t>
  </si>
  <si>
    <t>This Consensus statement argues that impairment is relative to both population norms but also a person's "normal" level of engagement or employment prior to e.g. a TBI or onset of a neurodegenerative condition.</t>
  </si>
  <si>
    <t>N/A</t>
  </si>
  <si>
    <t>Full Scale IQ (FSIQ)</t>
  </si>
  <si>
    <t>Test, Measure or Statistic</t>
  </si>
  <si>
    <t>ASRS - Adult ADHD Self-Rating Scale</t>
  </si>
  <si>
    <t>Participant Group by Age</t>
  </si>
  <si>
    <t>18-29</t>
  </si>
  <si>
    <t>50-64</t>
  </si>
  <si>
    <t>65+</t>
  </si>
  <si>
    <t>Number of Participants in Group</t>
  </si>
  <si>
    <t>ASRS</t>
  </si>
  <si>
    <t>Adult ADHD Self-Rating Scale</t>
  </si>
  <si>
    <t>Z score, Standard Score and Percentile converter</t>
  </si>
  <si>
    <t>Most commonly used self-rating scale in UK adult ADHD screening assessment</t>
  </si>
  <si>
    <t>Link to Adler et al (2019) paper</t>
  </si>
  <si>
    <t>Link to PDF of ASRS</t>
  </si>
  <si>
    <t>Link to Novopsych Website</t>
  </si>
  <si>
    <t>Norms are based on Adler et al (2023) US Population norms of 22,397 participants</t>
  </si>
  <si>
    <t>AQ50 - Autism Spectrum Quotient 50 Item Questionnaire</t>
  </si>
  <si>
    <t>Participant Group and Link to paper</t>
  </si>
  <si>
    <t>Rusich et al (2015) Metanalysis of Neurotypical groups</t>
  </si>
  <si>
    <t xml:space="preserve">     High Functioning Autism/Asperger's Group (n = 58)</t>
  </si>
  <si>
    <t xml:space="preserve">          HFA/Asperger's Females (n = 13)</t>
  </si>
  <si>
    <t xml:space="preserve">          HFA/Asperger's Males (n = 45)</t>
  </si>
  <si>
    <t xml:space="preserve">     Neurotypical Controls (n = 174)</t>
  </si>
  <si>
    <t xml:space="preserve">          Neurotypical Males (n = 76)</t>
  </si>
  <si>
    <t xml:space="preserve">          Neurotypical Females (n = 98)</t>
  </si>
  <si>
    <t xml:space="preserve">     Neurotypical Students (Cambridge, n = 840)</t>
  </si>
  <si>
    <t xml:space="preserve">          Neurotypical Male Students (Cambridge, n = 454)</t>
  </si>
  <si>
    <t xml:space="preserve">          Neurotypical Female Students (Cambridge, n = 386)</t>
  </si>
  <si>
    <t>Baron Cohen et al (2001) Groups</t>
  </si>
  <si>
    <t>Broadbent et al (2013) Groups</t>
  </si>
  <si>
    <t xml:space="preserve">     Neurotypical Group (both genders, n = 129)</t>
  </si>
  <si>
    <t xml:space="preserve">     ASD Group (both genders, n = 104)</t>
  </si>
  <si>
    <t xml:space="preserve">          Neurotypical Males (Meta-analysis, n = 872)</t>
  </si>
  <si>
    <t xml:space="preserve">          Neurotypical Females (Meta-analysis, n = 1,387)</t>
  </si>
  <si>
    <t xml:space="preserve">     Neurotypical Group (Meta-analysis, n = 4931)</t>
  </si>
  <si>
    <t xml:space="preserve">     ASD Group (Meta-analysis, n = 1,374)</t>
  </si>
  <si>
    <t>Note that all SDs are Pooled SDs</t>
  </si>
  <si>
    <t xml:space="preserve">          ASD Males (Meta-analysis, n = 298)</t>
  </si>
  <si>
    <t xml:space="preserve">          ASD Females (Meta-analysis, n = 363)</t>
  </si>
  <si>
    <t>AQ50</t>
  </si>
  <si>
    <t>Autistic Quotient 50 items Self-Rating Scale</t>
  </si>
  <si>
    <t>Most commonly used self-rating scale in UK adult ASD screening assessment</t>
  </si>
  <si>
    <t>Last Updated: 16th August 2023 Version 2.6</t>
  </si>
  <si>
    <r>
      <t xml:space="preserve">Dr Tom's Neuropsychological Tests &amp; Statistics Spreadsheet - </t>
    </r>
    <r>
      <rPr>
        <b/>
        <sz val="16"/>
        <color rgb="FFFF0000"/>
        <rFont val="Calibri"/>
        <family val="2"/>
        <scheme val="minor"/>
      </rPr>
      <t>Version 2.6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</si>
</sst>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5" x14ac:knownFonts="1">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sz val="16"/>
      <color indexed="8"/>
      <name val="Arial"/>
      <family val="2"/>
    </font>
    <font>
      <b/>
      <sz val="11"/>
      <color rgb="FFFF0000"/>
      <name val="Calibri"/>
      <family val="2"/>
      <scheme val="minor"/>
    </font>
    <font>
      <sz val="16"/>
      <color theme="1"/>
      <name val="Calibri"/>
      <family val="2"/>
      <scheme val="minor"/>
    </font>
    <font>
      <b/>
      <sz val="16"/>
      <color theme="1"/>
      <name val="Calibri"/>
      <family val="2"/>
      <scheme val="minor"/>
    </font>
    <font>
      <sz val="9"/>
      <color indexed="81"/>
      <name val="Tahoma"/>
      <family val="2"/>
    </font>
    <font>
      <b/>
      <sz val="9"/>
      <color indexed="81"/>
      <name val="Tahoma"/>
      <family val="2"/>
    </font>
    <font>
      <u/>
      <sz val="10"/>
      <color indexed="12"/>
      <name val="Arial"/>
      <family val="2"/>
    </font>
    <font>
      <b/>
      <sz val="11"/>
      <name val="Calibri"/>
      <family val="2"/>
      <scheme val="minor"/>
    </font>
    <font>
      <sz val="11"/>
      <name val="Calibri"/>
      <family val="2"/>
      <scheme val="minor"/>
    </font>
    <font>
      <sz val="8"/>
      <name val="Arial"/>
      <family val="2"/>
    </font>
    <font>
      <b/>
      <sz val="22"/>
      <name val="Calibri"/>
      <family val="2"/>
      <scheme val="minor"/>
    </font>
    <font>
      <b/>
      <sz val="22"/>
      <color rgb="FFFF0000"/>
      <name val="Calibri"/>
      <family val="2"/>
      <scheme val="minor"/>
    </font>
    <font>
      <sz val="8"/>
      <color indexed="12"/>
      <name val="Arial"/>
      <family val="2"/>
    </font>
    <font>
      <b/>
      <sz val="11"/>
      <color indexed="10"/>
      <name val="Calibri"/>
      <family val="2"/>
      <scheme val="minor"/>
    </font>
    <font>
      <sz val="8"/>
      <color rgb="FF000000"/>
      <name val="Tahoma"/>
      <family val="2"/>
    </font>
    <font>
      <sz val="11"/>
      <color theme="0" tint="-4.9989318521683403E-2"/>
      <name val="Calibri"/>
      <family val="2"/>
      <scheme val="minor"/>
    </font>
    <font>
      <sz val="20"/>
      <color theme="1"/>
      <name val="Calibri"/>
      <family val="2"/>
      <scheme val="minor"/>
    </font>
    <font>
      <sz val="20"/>
      <color theme="1"/>
      <name val="Calibri"/>
      <family val="2"/>
    </font>
    <font>
      <sz val="18"/>
      <color theme="0" tint="-4.9989318521683403E-2"/>
      <name val="Calibri"/>
      <family val="2"/>
      <scheme val="minor"/>
    </font>
    <font>
      <b/>
      <u/>
      <sz val="11"/>
      <color rgb="FFFF0000"/>
      <name val="Calibri"/>
      <family val="2"/>
      <scheme val="minor"/>
    </font>
    <font>
      <sz val="16"/>
      <color indexed="8"/>
      <name val="Arial"/>
      <family val="2"/>
    </font>
    <font>
      <sz val="11"/>
      <color indexed="8"/>
      <name val="Calibri"/>
      <family val="2"/>
    </font>
    <font>
      <sz val="11"/>
      <color theme="1"/>
      <name val="Arial"/>
      <family val="2"/>
    </font>
    <font>
      <sz val="11"/>
      <color theme="1"/>
      <name val="Calibri"/>
      <family val="2"/>
    </font>
    <font>
      <b/>
      <sz val="11"/>
      <color theme="1"/>
      <name val="Calibri"/>
      <family val="2"/>
    </font>
    <font>
      <sz val="11"/>
      <color theme="1"/>
      <name val="Calibri"/>
      <family val="2"/>
      <scheme val="minor"/>
    </font>
    <font>
      <b/>
      <sz val="11"/>
      <color rgb="FFFF0000"/>
      <name val="Calibri"/>
      <family val="2"/>
    </font>
    <font>
      <b/>
      <sz val="16"/>
      <color theme="1"/>
      <name val="Calibri"/>
      <family val="2"/>
    </font>
    <font>
      <b/>
      <sz val="16"/>
      <color rgb="FFFF0000"/>
      <name val="Calibri"/>
      <family val="2"/>
      <scheme val="minor"/>
    </font>
    <font>
      <sz val="11"/>
      <color theme="0" tint="-0.249977111117893"/>
      <name val="Calibri"/>
      <family val="2"/>
      <scheme val="minor"/>
    </font>
    <font>
      <b/>
      <i/>
      <sz val="11"/>
      <color theme="1"/>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BFBFBF"/>
        <bgColor rgb="FFBFBFBF"/>
      </patternFill>
    </fill>
    <fill>
      <patternFill patternType="solid">
        <fgColor rgb="FFFFFF00"/>
        <bgColor rgb="FFFFFF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4">
    <xf numFmtId="0" fontId="0" fillId="0" borderId="0"/>
    <xf numFmtId="0" fontId="3" fillId="0" borderId="0"/>
    <xf numFmtId="0" fontId="10" fillId="0" borderId="0" applyNumberFormat="0" applyFill="0" applyBorder="0" applyAlignment="0" applyProtection="0">
      <alignment vertical="top"/>
      <protection locked="0"/>
    </xf>
    <xf numFmtId="0" fontId="26" fillId="0" borderId="0"/>
  </cellStyleXfs>
  <cellXfs count="303">
    <xf numFmtId="0" fontId="0" fillId="0" borderId="0" xfId="0"/>
    <xf numFmtId="0" fontId="4" fillId="2" borderId="0" xfId="1" applyFont="1" applyFill="1"/>
    <xf numFmtId="0" fontId="0" fillId="2" borderId="0" xfId="0" applyFill="1"/>
    <xf numFmtId="0" fontId="2" fillId="0" borderId="0" xfId="0" applyFont="1"/>
    <xf numFmtId="0" fontId="2" fillId="0" borderId="0" xfId="0" applyFont="1" applyAlignment="1">
      <alignment horizontal="center"/>
    </xf>
    <xf numFmtId="0" fontId="5" fillId="0" borderId="0" xfId="0" applyFont="1" applyAlignment="1">
      <alignment horizontal="center"/>
    </xf>
    <xf numFmtId="0" fontId="0" fillId="0" borderId="0" xfId="0" applyAlignment="1">
      <alignment horizontal="center"/>
    </xf>
    <xf numFmtId="0" fontId="0" fillId="2" borderId="0" xfId="0" applyFill="1" applyAlignment="1">
      <alignment horizontal="center"/>
    </xf>
    <xf numFmtId="164" fontId="0" fillId="0" borderId="0" xfId="0" applyNumberFormat="1" applyAlignment="1">
      <alignment horizontal="center"/>
    </xf>
    <xf numFmtId="0" fontId="7" fillId="0" borderId="0" xfId="0" applyFont="1"/>
    <xf numFmtId="0" fontId="7" fillId="2" borderId="0" xfId="0" applyFont="1" applyFill="1"/>
    <xf numFmtId="1" fontId="0" fillId="0" borderId="0" xfId="0" applyNumberFormat="1" applyAlignment="1">
      <alignment horizontal="center"/>
    </xf>
    <xf numFmtId="1" fontId="0" fillId="2" borderId="0" xfId="0" applyNumberFormat="1" applyFill="1" applyAlignment="1">
      <alignment horizontal="center"/>
    </xf>
    <xf numFmtId="164" fontId="0" fillId="2" borderId="0" xfId="0" applyNumberFormat="1" applyFill="1" applyAlignment="1">
      <alignment horizontal="center"/>
    </xf>
    <xf numFmtId="2" fontId="0" fillId="0" borderId="0" xfId="0" applyNumberFormat="1"/>
    <xf numFmtId="0" fontId="10" fillId="0" borderId="0" xfId="2" applyAlignment="1" applyProtection="1"/>
    <xf numFmtId="0" fontId="6" fillId="2" borderId="0" xfId="0" applyFont="1" applyFill="1"/>
    <xf numFmtId="0" fontId="11" fillId="0" borderId="0" xfId="1" applyFont="1"/>
    <xf numFmtId="0" fontId="12" fillId="0" borderId="0" xfId="1" applyFont="1"/>
    <xf numFmtId="0" fontId="2" fillId="0" borderId="1" xfId="0" applyFont="1" applyBorder="1" applyAlignment="1">
      <alignment horizontal="center"/>
    </xf>
    <xf numFmtId="2" fontId="2" fillId="0" borderId="1" xfId="0" applyNumberFormat="1" applyFont="1" applyBorder="1" applyAlignment="1">
      <alignment horizontal="center"/>
    </xf>
    <xf numFmtId="0" fontId="0" fillId="3" borderId="1" xfId="0" applyFill="1" applyBorder="1"/>
    <xf numFmtId="0" fontId="0" fillId="0" borderId="1" xfId="0" applyBorder="1" applyAlignment="1">
      <alignment horizontal="center"/>
    </xf>
    <xf numFmtId="0" fontId="0" fillId="3" borderId="1" xfId="0" applyFill="1" applyBorder="1" applyAlignment="1">
      <alignment horizontal="center"/>
    </xf>
    <xf numFmtId="2" fontId="0" fillId="3" borderId="1" xfId="0" applyNumberFormat="1" applyFill="1" applyBorder="1" applyAlignment="1">
      <alignment horizontal="center"/>
    </xf>
    <xf numFmtId="0" fontId="0" fillId="0" borderId="1" xfId="0" applyBorder="1"/>
    <xf numFmtId="2" fontId="0" fillId="0" borderId="1" xfId="0" applyNumberFormat="1" applyBorder="1" applyAlignment="1">
      <alignment horizontal="center"/>
    </xf>
    <xf numFmtId="0" fontId="2" fillId="0" borderId="2" xfId="0" applyFont="1" applyBorder="1" applyAlignment="1">
      <alignment vertical="center"/>
    </xf>
    <xf numFmtId="0" fontId="0" fillId="0" borderId="1" xfId="0" applyBorder="1" applyAlignment="1">
      <alignment vertical="center"/>
    </xf>
    <xf numFmtId="0" fontId="2" fillId="2" borderId="0" xfId="0" applyFont="1" applyFill="1"/>
    <xf numFmtId="0" fontId="13" fillId="0" borderId="0" xfId="1" applyFont="1"/>
    <xf numFmtId="0" fontId="14" fillId="0" borderId="0" xfId="1" applyFont="1" applyAlignment="1">
      <alignment horizontal="left"/>
    </xf>
    <xf numFmtId="0" fontId="11" fillId="0" borderId="0" xfId="1" applyFont="1" applyAlignment="1">
      <alignment horizontal="centerContinuous"/>
    </xf>
    <xf numFmtId="0" fontId="11" fillId="0" borderId="0" xfId="1" applyFont="1" applyAlignment="1">
      <alignment horizontal="left"/>
    </xf>
    <xf numFmtId="0" fontId="1" fillId="0" borderId="0" xfId="1" applyFont="1"/>
    <xf numFmtId="0" fontId="16" fillId="0" borderId="0" xfId="1" applyFont="1"/>
    <xf numFmtId="0" fontId="11" fillId="0" borderId="13" xfId="1" applyFont="1" applyBorder="1"/>
    <xf numFmtId="1" fontId="12" fillId="0" borderId="0" xfId="1" applyNumberFormat="1" applyFont="1"/>
    <xf numFmtId="0" fontId="5" fillId="0" borderId="0" xfId="1" applyFont="1"/>
    <xf numFmtId="0" fontId="0" fillId="5" borderId="0" xfId="0" applyFill="1"/>
    <xf numFmtId="0" fontId="12" fillId="5" borderId="0" xfId="0" applyFont="1" applyFill="1"/>
    <xf numFmtId="0" fontId="19" fillId="5" borderId="0" xfId="0" applyFont="1" applyFill="1" applyProtection="1">
      <protection locked="0"/>
    </xf>
    <xf numFmtId="0" fontId="19" fillId="5" borderId="0" xfId="0" applyFont="1" applyFill="1"/>
    <xf numFmtId="0" fontId="20" fillId="4" borderId="1" xfId="0" applyFont="1" applyFill="1" applyBorder="1" applyAlignment="1" applyProtection="1">
      <alignment horizontal="center"/>
      <protection locked="0"/>
    </xf>
    <xf numFmtId="0" fontId="21" fillId="5" borderId="0" xfId="0" applyFont="1" applyFill="1" applyAlignment="1">
      <alignment horizontal="center"/>
    </xf>
    <xf numFmtId="0" fontId="20" fillId="5" borderId="1" xfId="0" applyFont="1" applyFill="1" applyBorder="1" applyAlignment="1">
      <alignment horizontal="center"/>
    </xf>
    <xf numFmtId="0" fontId="22" fillId="5" borderId="0" xfId="0" applyFont="1" applyFill="1" applyAlignment="1">
      <alignment horizontal="center"/>
    </xf>
    <xf numFmtId="0" fontId="22" fillId="5" borderId="0" xfId="0" applyFont="1" applyFill="1" applyAlignment="1" applyProtection="1">
      <alignment horizontal="center"/>
      <protection locked="0"/>
    </xf>
    <xf numFmtId="0" fontId="2" fillId="3" borderId="0" xfId="0" applyFont="1" applyFill="1" applyAlignment="1">
      <alignment horizontal="center"/>
    </xf>
    <xf numFmtId="0" fontId="2" fillId="0" borderId="1" xfId="0" applyFont="1" applyBorder="1"/>
    <xf numFmtId="0" fontId="2" fillId="3" borderId="1" xfId="0" applyFont="1" applyFill="1" applyBorder="1" applyAlignment="1">
      <alignment horizontal="center"/>
    </xf>
    <xf numFmtId="0" fontId="2" fillId="3" borderId="1" xfId="0" applyFont="1" applyFill="1" applyBorder="1"/>
    <xf numFmtId="0" fontId="2" fillId="0" borderId="1" xfId="0" applyFont="1" applyBorder="1" applyAlignment="1">
      <alignment horizontal="left"/>
    </xf>
    <xf numFmtId="164" fontId="0" fillId="3" borderId="1" xfId="0" applyNumberFormat="1" applyFill="1" applyBorder="1" applyAlignment="1">
      <alignment horizontal="center"/>
    </xf>
    <xf numFmtId="0" fontId="2" fillId="0" borderId="1" xfId="0" applyFont="1" applyBorder="1" applyAlignment="1">
      <alignment horizontal="center" wrapText="1"/>
    </xf>
    <xf numFmtId="0" fontId="24" fillId="2" borderId="0" xfId="1" applyFont="1" applyFill="1"/>
    <xf numFmtId="0" fontId="11" fillId="0" borderId="1" xfId="1" applyFont="1" applyBorder="1" applyAlignment="1">
      <alignment horizontal="center"/>
    </xf>
    <xf numFmtId="0" fontId="11" fillId="0" borderId="6" xfId="1" applyFont="1" applyBorder="1" applyAlignment="1">
      <alignment horizontal="center"/>
    </xf>
    <xf numFmtId="0" fontId="11" fillId="0" borderId="5" xfId="1" applyFont="1" applyBorder="1" applyAlignment="1">
      <alignment horizontal="center"/>
    </xf>
    <xf numFmtId="2" fontId="2" fillId="3" borderId="1" xfId="0" applyNumberFormat="1" applyFont="1" applyFill="1" applyBorder="1" applyAlignment="1">
      <alignment horizontal="center"/>
    </xf>
    <xf numFmtId="164" fontId="2" fillId="3" borderId="1" xfId="0" applyNumberFormat="1" applyFont="1" applyFill="1" applyBorder="1" applyAlignment="1">
      <alignment horizontal="center"/>
    </xf>
    <xf numFmtId="2" fontId="2" fillId="3" borderId="5" xfId="0" applyNumberFormat="1" applyFont="1" applyFill="1" applyBorder="1" applyAlignment="1">
      <alignment horizontal="center"/>
    </xf>
    <xf numFmtId="164" fontId="2" fillId="3" borderId="5" xfId="0" applyNumberFormat="1" applyFont="1" applyFill="1" applyBorder="1" applyAlignment="1">
      <alignment horizontal="center"/>
    </xf>
    <xf numFmtId="0" fontId="2" fillId="6" borderId="1" xfId="0" applyFont="1" applyFill="1" applyBorder="1" applyAlignment="1">
      <alignment horizontal="center"/>
    </xf>
    <xf numFmtId="0" fontId="2" fillId="6" borderId="1" xfId="0" applyFont="1" applyFill="1" applyBorder="1"/>
    <xf numFmtId="2" fontId="2" fillId="0" borderId="5" xfId="0" applyNumberFormat="1" applyFont="1" applyBorder="1" applyAlignment="1">
      <alignment horizontal="center"/>
    </xf>
    <xf numFmtId="164" fontId="2" fillId="0" borderId="5" xfId="0" applyNumberFormat="1" applyFont="1" applyBorder="1" applyAlignment="1">
      <alignment horizontal="center"/>
    </xf>
    <xf numFmtId="164" fontId="2" fillId="0" borderId="1" xfId="0" applyNumberFormat="1" applyFont="1" applyBorder="1" applyAlignment="1">
      <alignment horizontal="center"/>
    </xf>
    <xf numFmtId="0" fontId="11" fillId="0" borderId="8" xfId="1" applyFont="1" applyBorder="1"/>
    <xf numFmtId="0" fontId="0" fillId="0" borderId="10" xfId="0" applyBorder="1"/>
    <xf numFmtId="0" fontId="12" fillId="0" borderId="11" xfId="1" applyFont="1" applyBorder="1"/>
    <xf numFmtId="0" fontId="0" fillId="0" borderId="12" xfId="0" applyBorder="1"/>
    <xf numFmtId="0" fontId="12" fillId="0" borderId="14" xfId="1" applyFont="1" applyBorder="1"/>
    <xf numFmtId="0" fontId="0" fillId="0" borderId="15" xfId="0" applyBorder="1"/>
    <xf numFmtId="0" fontId="2" fillId="0" borderId="8" xfId="0" applyFont="1" applyBorder="1"/>
    <xf numFmtId="0" fontId="0" fillId="0" borderId="11" xfId="0" applyBorder="1"/>
    <xf numFmtId="0" fontId="0" fillId="0" borderId="14" xfId="0" applyBorder="1"/>
    <xf numFmtId="0" fontId="0" fillId="6" borderId="1" xfId="0" applyFill="1" applyBorder="1" applyAlignment="1">
      <alignment horizontal="center"/>
    </xf>
    <xf numFmtId="164" fontId="12" fillId="4" borderId="9" xfId="1" applyNumberFormat="1" applyFont="1" applyFill="1" applyBorder="1" applyAlignment="1">
      <alignment horizontal="center"/>
    </xf>
    <xf numFmtId="164" fontId="12" fillId="4" borderId="0" xfId="1" applyNumberFormat="1" applyFont="1" applyFill="1" applyAlignment="1">
      <alignment horizontal="center"/>
    </xf>
    <xf numFmtId="0" fontId="25" fillId="4" borderId="0" xfId="0" applyFont="1" applyFill="1" applyAlignment="1">
      <alignment horizontal="center" wrapText="1"/>
    </xf>
    <xf numFmtId="0" fontId="25" fillId="4" borderId="13" xfId="0" applyFont="1" applyFill="1" applyBorder="1" applyAlignment="1">
      <alignment horizontal="center" wrapText="1"/>
    </xf>
    <xf numFmtId="1" fontId="12" fillId="6" borderId="8" xfId="1" applyNumberFormat="1" applyFont="1" applyFill="1" applyBorder="1" applyAlignment="1">
      <alignment horizontal="center"/>
    </xf>
    <xf numFmtId="1" fontId="12" fillId="6" borderId="11" xfId="1" applyNumberFormat="1" applyFont="1" applyFill="1" applyBorder="1" applyAlignment="1">
      <alignment horizontal="center"/>
    </xf>
    <xf numFmtId="1" fontId="12" fillId="6" borderId="14" xfId="1" applyNumberFormat="1" applyFont="1" applyFill="1" applyBorder="1" applyAlignment="1">
      <alignment horizontal="center"/>
    </xf>
    <xf numFmtId="0" fontId="11" fillId="6" borderId="5" xfId="1" applyFont="1" applyFill="1" applyBorder="1"/>
    <xf numFmtId="0" fontId="11" fillId="6" borderId="6" xfId="1" applyFont="1" applyFill="1" applyBorder="1"/>
    <xf numFmtId="0" fontId="11" fillId="6" borderId="2" xfId="1" applyFont="1" applyFill="1" applyBorder="1"/>
    <xf numFmtId="164" fontId="12" fillId="0" borderId="10" xfId="1" applyNumberFormat="1" applyFont="1" applyBorder="1" applyAlignment="1">
      <alignment horizontal="center"/>
    </xf>
    <xf numFmtId="164" fontId="12" fillId="0" borderId="12" xfId="1" applyNumberFormat="1" applyFont="1" applyBorder="1" applyAlignment="1">
      <alignment horizontal="center"/>
    </xf>
    <xf numFmtId="164" fontId="12" fillId="0" borderId="15" xfId="1" applyNumberFormat="1" applyFont="1" applyBorder="1" applyAlignment="1">
      <alignment horizontal="center"/>
    </xf>
    <xf numFmtId="1" fontId="12" fillId="6" borderId="0" xfId="1" applyNumberFormat="1" applyFont="1" applyFill="1" applyAlignment="1">
      <alignment horizontal="center"/>
    </xf>
    <xf numFmtId="1" fontId="12" fillId="0" borderId="0" xfId="1" applyNumberFormat="1" applyFont="1" applyAlignment="1">
      <alignment horizontal="center"/>
    </xf>
    <xf numFmtId="164" fontId="12" fillId="0" borderId="0" xfId="1" applyNumberFormat="1" applyFont="1" applyAlignment="1">
      <alignment horizontal="center"/>
    </xf>
    <xf numFmtId="1" fontId="12" fillId="0" borderId="9" xfId="1" applyNumberFormat="1" applyFont="1" applyBorder="1" applyAlignment="1">
      <alignment horizontal="center"/>
    </xf>
    <xf numFmtId="1" fontId="12" fillId="0" borderId="13" xfId="1" applyNumberFormat="1" applyFont="1" applyBorder="1" applyAlignment="1">
      <alignment horizontal="center"/>
    </xf>
    <xf numFmtId="164" fontId="12" fillId="4" borderId="13" xfId="1" applyNumberFormat="1" applyFont="1" applyFill="1" applyBorder="1" applyAlignment="1">
      <alignment horizontal="center"/>
    </xf>
    <xf numFmtId="1" fontId="12" fillId="0" borderId="0" xfId="1" applyNumberFormat="1" applyFont="1" applyAlignment="1">
      <alignment horizontal="right"/>
    </xf>
    <xf numFmtId="2" fontId="17" fillId="0" borderId="0" xfId="1" applyNumberFormat="1" applyFont="1" applyAlignment="1">
      <alignment horizontal="right"/>
    </xf>
    <xf numFmtId="3" fontId="12" fillId="0" borderId="0" xfId="1" applyNumberFormat="1" applyFont="1" applyAlignment="1">
      <alignment horizontal="center"/>
    </xf>
    <xf numFmtId="165" fontId="12" fillId="0" borderId="0" xfId="1" applyNumberFormat="1" applyFont="1" applyAlignment="1">
      <alignment horizontal="center"/>
    </xf>
    <xf numFmtId="3" fontId="12" fillId="0" borderId="9" xfId="1" applyNumberFormat="1" applyFont="1" applyBorder="1" applyAlignment="1">
      <alignment horizontal="center"/>
    </xf>
    <xf numFmtId="165" fontId="12" fillId="0" borderId="10" xfId="1" applyNumberFormat="1" applyFont="1" applyBorder="1" applyAlignment="1">
      <alignment horizontal="center"/>
    </xf>
    <xf numFmtId="165" fontId="12" fillId="0" borderId="12" xfId="1" applyNumberFormat="1" applyFont="1" applyBorder="1" applyAlignment="1">
      <alignment horizontal="center"/>
    </xf>
    <xf numFmtId="3" fontId="12" fillId="0" borderId="13" xfId="1" applyNumberFormat="1" applyFont="1" applyBorder="1" applyAlignment="1">
      <alignment horizontal="center"/>
    </xf>
    <xf numFmtId="165" fontId="12" fillId="0" borderId="15" xfId="1" applyNumberFormat="1" applyFont="1" applyBorder="1" applyAlignment="1">
      <alignment horizontal="center"/>
    </xf>
    <xf numFmtId="0" fontId="25" fillId="4" borderId="9" xfId="0" applyFont="1" applyFill="1" applyBorder="1" applyAlignment="1">
      <alignment horizontal="center" wrapText="1"/>
    </xf>
    <xf numFmtId="2" fontId="12" fillId="0" borderId="9" xfId="1" applyNumberFormat="1" applyFont="1" applyBorder="1" applyAlignment="1">
      <alignment horizontal="center"/>
    </xf>
    <xf numFmtId="2" fontId="12" fillId="0" borderId="0" xfId="1" applyNumberFormat="1" applyFont="1" applyAlignment="1">
      <alignment horizontal="center"/>
    </xf>
    <xf numFmtId="2" fontId="12" fillId="0" borderId="13" xfId="1" applyNumberFormat="1" applyFont="1" applyBorder="1" applyAlignment="1">
      <alignment horizontal="center"/>
    </xf>
    <xf numFmtId="0" fontId="11" fillId="2" borderId="3" xfId="1" applyFont="1" applyFill="1" applyBorder="1" applyAlignment="1">
      <alignment horizontal="centerContinuous"/>
    </xf>
    <xf numFmtId="0" fontId="11" fillId="2" borderId="7" xfId="1" applyFont="1" applyFill="1" applyBorder="1" applyAlignment="1">
      <alignment horizontal="centerContinuous"/>
    </xf>
    <xf numFmtId="0" fontId="11" fillId="2" borderId="4" xfId="1" applyFont="1" applyFill="1" applyBorder="1" applyAlignment="1">
      <alignment horizontal="centerContinuous"/>
    </xf>
    <xf numFmtId="0" fontId="0" fillId="0" borderId="9" xfId="0" applyBorder="1"/>
    <xf numFmtId="0" fontId="0" fillId="0" borderId="13" xfId="0" applyBorder="1"/>
    <xf numFmtId="0" fontId="0" fillId="3" borderId="4" xfId="0" applyFill="1" applyBorder="1"/>
    <xf numFmtId="164" fontId="0" fillId="0" borderId="1" xfId="0" applyNumberFormat="1" applyBorder="1" applyAlignment="1">
      <alignment horizontal="center"/>
    </xf>
    <xf numFmtId="0" fontId="2" fillId="0" borderId="5" xfId="0" applyFont="1" applyBorder="1"/>
    <xf numFmtId="0" fontId="0" fillId="0" borderId="6" xfId="0" applyBorder="1"/>
    <xf numFmtId="0" fontId="0" fillId="0" borderId="2" xfId="0" applyBorder="1"/>
    <xf numFmtId="0" fontId="2" fillId="0" borderId="5" xfId="0" applyFont="1" applyBorder="1" applyAlignment="1">
      <alignment horizontal="center"/>
    </xf>
    <xf numFmtId="0" fontId="0" fillId="3" borderId="6" xfId="0" applyFill="1" applyBorder="1" applyAlignment="1">
      <alignment horizontal="center"/>
    </xf>
    <xf numFmtId="0" fontId="0" fillId="0" borderId="6" xfId="0" applyBorder="1" applyAlignment="1">
      <alignment horizontal="center"/>
    </xf>
    <xf numFmtId="0" fontId="0" fillId="3" borderId="2" xfId="0" applyFill="1" applyBorder="1" applyAlignment="1">
      <alignment horizontal="center"/>
    </xf>
    <xf numFmtId="0" fontId="2" fillId="0" borderId="6" xfId="0" applyFont="1" applyBorder="1" applyAlignment="1">
      <alignment horizontal="center"/>
    </xf>
    <xf numFmtId="164" fontId="0" fillId="3" borderId="6" xfId="0" applyNumberFormat="1" applyFill="1" applyBorder="1" applyAlignment="1">
      <alignment horizontal="center"/>
    </xf>
    <xf numFmtId="164" fontId="0" fillId="0" borderId="6" xfId="0" applyNumberFormat="1" applyBorder="1" applyAlignment="1">
      <alignment horizontal="center"/>
    </xf>
    <xf numFmtId="164" fontId="0" fillId="3" borderId="2" xfId="0" applyNumberFormat="1" applyFill="1" applyBorder="1" applyAlignment="1">
      <alignment horizontal="center"/>
    </xf>
    <xf numFmtId="1" fontId="2" fillId="0" borderId="5" xfId="0" applyNumberFormat="1" applyFont="1" applyBorder="1" applyAlignment="1">
      <alignment horizontal="center"/>
    </xf>
    <xf numFmtId="1" fontId="0" fillId="3" borderId="6" xfId="0" applyNumberFormat="1" applyFill="1" applyBorder="1" applyAlignment="1">
      <alignment horizontal="center"/>
    </xf>
    <xf numFmtId="1" fontId="0" fillId="0" borderId="6" xfId="0" applyNumberFormat="1" applyBorder="1" applyAlignment="1">
      <alignment horizontal="center"/>
    </xf>
    <xf numFmtId="1" fontId="0" fillId="3" borderId="2" xfId="0" applyNumberFormat="1" applyFill="1" applyBorder="1" applyAlignment="1">
      <alignment horizontal="center"/>
    </xf>
    <xf numFmtId="0" fontId="10" fillId="0" borderId="5" xfId="2" applyBorder="1" applyAlignment="1" applyProtection="1">
      <alignment horizontal="center"/>
    </xf>
    <xf numFmtId="0" fontId="12" fillId="0" borderId="6" xfId="0" applyFont="1" applyBorder="1"/>
    <xf numFmtId="0" fontId="12" fillId="0" borderId="2" xfId="0" applyFont="1" applyBorder="1"/>
    <xf numFmtId="17" fontId="0" fillId="0" borderId="6" xfId="0" applyNumberFormat="1" applyBorder="1"/>
    <xf numFmtId="0" fontId="0" fillId="6" borderId="6" xfId="0" applyFill="1" applyBorder="1" applyAlignment="1">
      <alignment horizontal="center"/>
    </xf>
    <xf numFmtId="0" fontId="0" fillId="6" borderId="2" xfId="0" applyFill="1" applyBorder="1" applyAlignment="1">
      <alignment horizontal="center"/>
    </xf>
    <xf numFmtId="0" fontId="5" fillId="6" borderId="5" xfId="0" applyFont="1" applyFill="1" applyBorder="1" applyAlignment="1">
      <alignment horizontal="center"/>
    </xf>
    <xf numFmtId="1" fontId="2" fillId="2" borderId="0" xfId="0" applyNumberFormat="1" applyFont="1" applyFill="1"/>
    <xf numFmtId="1" fontId="13" fillId="0" borderId="0" xfId="1" applyNumberFormat="1" applyFont="1"/>
    <xf numFmtId="1" fontId="11" fillId="0" borderId="0" xfId="1" applyNumberFormat="1" applyFont="1" applyAlignment="1">
      <alignment horizontal="centerContinuous"/>
    </xf>
    <xf numFmtId="1" fontId="11" fillId="2" borderId="7" xfId="1" applyNumberFormat="1" applyFont="1" applyFill="1" applyBorder="1" applyAlignment="1">
      <alignment horizontal="centerContinuous"/>
    </xf>
    <xf numFmtId="1" fontId="11" fillId="0" borderId="5" xfId="1" applyNumberFormat="1" applyFont="1" applyBorder="1" applyAlignment="1">
      <alignment horizontal="center"/>
    </xf>
    <xf numFmtId="1" fontId="0" fillId="0" borderId="0" xfId="0" applyNumberFormat="1"/>
    <xf numFmtId="1" fontId="1" fillId="0" borderId="0" xfId="1" applyNumberFormat="1" applyFont="1" applyAlignment="1">
      <alignment horizontal="center"/>
    </xf>
    <xf numFmtId="1" fontId="12" fillId="0" borderId="5" xfId="1" applyNumberFormat="1" applyFont="1" applyBorder="1" applyAlignment="1">
      <alignment horizontal="center"/>
    </xf>
    <xf numFmtId="1" fontId="12" fillId="0" borderId="6" xfId="1" applyNumberFormat="1" applyFont="1" applyBorder="1" applyAlignment="1">
      <alignment horizontal="center"/>
    </xf>
    <xf numFmtId="1" fontId="1" fillId="0" borderId="2" xfId="1" applyNumberFormat="1" applyFont="1" applyBorder="1" applyAlignment="1">
      <alignment horizontal="center"/>
    </xf>
    <xf numFmtId="0" fontId="26" fillId="0" borderId="0" xfId="3"/>
    <xf numFmtId="0" fontId="24" fillId="0" borderId="0" xfId="1" applyFont="1"/>
    <xf numFmtId="0" fontId="2" fillId="0" borderId="0" xfId="3" applyFont="1"/>
    <xf numFmtId="0" fontId="28" fillId="0" borderId="0" xfId="3" applyFont="1"/>
    <xf numFmtId="0" fontId="0" fillId="6" borderId="5" xfId="0" applyFill="1" applyBorder="1" applyAlignment="1">
      <alignment horizontal="center"/>
    </xf>
    <xf numFmtId="0" fontId="0" fillId="0" borderId="5" xfId="0" applyBorder="1" applyAlignment="1">
      <alignment horizontal="center"/>
    </xf>
    <xf numFmtId="0" fontId="0" fillId="0" borderId="2" xfId="0" applyBorder="1" applyAlignment="1">
      <alignment horizontal="center"/>
    </xf>
    <xf numFmtId="2" fontId="0" fillId="0" borderId="0" xfId="0" applyNumberFormat="1" applyAlignment="1">
      <alignment horizontal="center"/>
    </xf>
    <xf numFmtId="0" fontId="0" fillId="0" borderId="5" xfId="0" applyBorder="1"/>
    <xf numFmtId="0" fontId="0" fillId="3" borderId="2" xfId="0" applyFill="1" applyBorder="1"/>
    <xf numFmtId="2" fontId="0" fillId="3" borderId="2" xfId="0" applyNumberFormat="1" applyFill="1" applyBorder="1" applyAlignment="1">
      <alignment horizontal="center"/>
    </xf>
    <xf numFmtId="0" fontId="0" fillId="0" borderId="13" xfId="0" applyBorder="1" applyAlignment="1">
      <alignment horizontal="center"/>
    </xf>
    <xf numFmtId="2" fontId="0" fillId="0" borderId="13" xfId="0" applyNumberFormat="1" applyBorder="1" applyAlignment="1">
      <alignment horizontal="center"/>
    </xf>
    <xf numFmtId="0" fontId="7" fillId="0" borderId="13" xfId="0" applyFont="1" applyBorder="1"/>
    <xf numFmtId="2" fontId="0" fillId="0" borderId="2" xfId="0" applyNumberFormat="1" applyBorder="1" applyAlignment="1">
      <alignment horizontal="center"/>
    </xf>
    <xf numFmtId="0" fontId="0" fillId="0" borderId="7" xfId="0" applyBorder="1"/>
    <xf numFmtId="14" fontId="0" fillId="6" borderId="1" xfId="0" applyNumberFormat="1" applyFill="1" applyBorder="1" applyAlignment="1">
      <alignment horizontal="center"/>
    </xf>
    <xf numFmtId="0" fontId="27" fillId="8" borderId="16" xfId="3" applyFont="1" applyFill="1" applyBorder="1" applyAlignment="1">
      <alignment horizontal="center"/>
    </xf>
    <xf numFmtId="0" fontId="27" fillId="6" borderId="16" xfId="3" applyFont="1" applyFill="1" applyBorder="1" applyAlignment="1">
      <alignment horizontal="center"/>
    </xf>
    <xf numFmtId="164" fontId="27" fillId="0" borderId="16" xfId="3" applyNumberFormat="1" applyFont="1" applyBorder="1" applyAlignment="1">
      <alignment horizontal="center"/>
    </xf>
    <xf numFmtId="2" fontId="27" fillId="0" borderId="0" xfId="3" applyNumberFormat="1" applyFont="1" applyAlignment="1">
      <alignment horizontal="center"/>
    </xf>
    <xf numFmtId="164" fontId="27" fillId="0" borderId="0" xfId="3" applyNumberFormat="1" applyFont="1" applyAlignment="1">
      <alignment horizontal="center"/>
    </xf>
    <xf numFmtId="0" fontId="27" fillId="0" borderId="0" xfId="3" applyFont="1" applyAlignment="1">
      <alignment horizontal="center"/>
    </xf>
    <xf numFmtId="0" fontId="29" fillId="0" borderId="0" xfId="3" applyFont="1" applyAlignment="1">
      <alignment horizontal="center"/>
    </xf>
    <xf numFmtId="0" fontId="28" fillId="0" borderId="1" xfId="3" applyFont="1" applyBorder="1" applyAlignment="1">
      <alignment horizontal="center"/>
    </xf>
    <xf numFmtId="0" fontId="28" fillId="2" borderId="1" xfId="3" applyFont="1" applyFill="1" applyBorder="1" applyAlignment="1">
      <alignment horizontal="center"/>
    </xf>
    <xf numFmtId="0" fontId="2" fillId="0" borderId="1" xfId="3" applyFont="1" applyBorder="1" applyAlignment="1">
      <alignment horizontal="center"/>
    </xf>
    <xf numFmtId="164" fontId="27" fillId="0" borderId="1" xfId="3" applyNumberFormat="1" applyFont="1" applyBorder="1" applyAlignment="1">
      <alignment horizontal="center"/>
    </xf>
    <xf numFmtId="164" fontId="27" fillId="3" borderId="1" xfId="3" applyNumberFormat="1" applyFont="1" applyFill="1" applyBorder="1" applyAlignment="1">
      <alignment horizontal="center"/>
    </xf>
    <xf numFmtId="164" fontId="29" fillId="0" borderId="1" xfId="3" applyNumberFormat="1" applyFont="1" applyBorder="1" applyAlignment="1">
      <alignment horizontal="center"/>
    </xf>
    <xf numFmtId="0" fontId="31" fillId="0" borderId="0" xfId="3" applyFont="1"/>
    <xf numFmtId="0" fontId="28" fillId="7" borderId="16" xfId="3" applyFont="1" applyFill="1" applyBorder="1" applyAlignment="1">
      <alignment horizontal="center" vertical="top" wrapText="1"/>
    </xf>
    <xf numFmtId="0" fontId="0" fillId="0" borderId="8" xfId="0" applyBorder="1"/>
    <xf numFmtId="0" fontId="0" fillId="0" borderId="9" xfId="0" applyBorder="1" applyAlignment="1">
      <alignment horizontal="center"/>
    </xf>
    <xf numFmtId="2" fontId="0" fillId="0" borderId="10" xfId="0" applyNumberFormat="1" applyBorder="1"/>
    <xf numFmtId="2" fontId="0" fillId="0" borderId="12" xfId="0" applyNumberFormat="1" applyBorder="1"/>
    <xf numFmtId="2" fontId="0" fillId="0" borderId="15" xfId="0" applyNumberFormat="1" applyBorder="1"/>
    <xf numFmtId="0" fontId="27" fillId="0" borderId="0" xfId="3" applyFont="1" applyAlignment="1">
      <alignment wrapText="1"/>
    </xf>
    <xf numFmtId="0" fontId="28" fillId="7" borderId="17" xfId="3" applyFont="1" applyFill="1" applyBorder="1" applyAlignment="1">
      <alignment horizontal="center" vertical="top" wrapText="1"/>
    </xf>
    <xf numFmtId="164" fontId="27" fillId="0" borderId="17" xfId="3" applyNumberFormat="1" applyFont="1" applyBorder="1" applyAlignment="1">
      <alignment horizontal="center"/>
    </xf>
    <xf numFmtId="0" fontId="28" fillId="7" borderId="16" xfId="3" applyFont="1" applyFill="1" applyBorder="1" applyAlignment="1">
      <alignment vertical="top" wrapText="1"/>
    </xf>
    <xf numFmtId="0" fontId="2" fillId="3" borderId="1" xfId="0" applyFont="1" applyFill="1" applyBorder="1" applyAlignment="1">
      <alignment horizontal="center" wrapText="1"/>
    </xf>
    <xf numFmtId="0" fontId="2" fillId="3" borderId="1" xfId="0" applyFont="1" applyFill="1" applyBorder="1" applyAlignment="1">
      <alignment horizontal="center" vertical="top"/>
    </xf>
    <xf numFmtId="1" fontId="12" fillId="0" borderId="11" xfId="1" applyNumberFormat="1" applyFont="1" applyBorder="1" applyAlignment="1">
      <alignment horizontal="center"/>
    </xf>
    <xf numFmtId="1" fontId="11" fillId="3" borderId="1" xfId="1" applyNumberFormat="1" applyFont="1" applyFill="1" applyBorder="1" applyAlignment="1">
      <alignment horizontal="right"/>
    </xf>
    <xf numFmtId="0" fontId="32" fillId="0" borderId="0" xfId="1" applyFont="1"/>
    <xf numFmtId="0" fontId="28" fillId="7" borderId="16" xfId="3" applyFont="1" applyFill="1" applyBorder="1" applyAlignment="1">
      <alignment horizontal="center" wrapText="1"/>
    </xf>
    <xf numFmtId="164" fontId="27" fillId="6" borderId="16" xfId="3" applyNumberFormat="1" applyFont="1" applyFill="1" applyBorder="1" applyAlignment="1">
      <alignment horizontal="center"/>
    </xf>
    <xf numFmtId="164" fontId="11" fillId="2" borderId="4" xfId="1" applyNumberFormat="1" applyFont="1" applyFill="1" applyBorder="1" applyAlignment="1">
      <alignment horizontal="centerContinuous"/>
    </xf>
    <xf numFmtId="164" fontId="11" fillId="0" borderId="1" xfId="1" applyNumberFormat="1" applyFont="1" applyBorder="1" applyAlignment="1">
      <alignment horizontal="center"/>
    </xf>
    <xf numFmtId="0" fontId="33" fillId="3" borderId="1" xfId="0" applyFont="1" applyFill="1" applyBorder="1"/>
    <xf numFmtId="0" fontId="12" fillId="0" borderId="6" xfId="1" applyFont="1" applyBorder="1"/>
    <xf numFmtId="0" fontId="12" fillId="0" borderId="2" xfId="1" applyFont="1" applyBorder="1"/>
    <xf numFmtId="0" fontId="11" fillId="0" borderId="1" xfId="1" applyFont="1" applyBorder="1"/>
    <xf numFmtId="0" fontId="2" fillId="0" borderId="3" xfId="0" applyFont="1" applyBorder="1"/>
    <xf numFmtId="0" fontId="0" fillId="0" borderId="4" xfId="0" applyBorder="1"/>
    <xf numFmtId="0" fontId="11" fillId="0" borderId="3" xfId="1" applyFont="1" applyBorder="1"/>
    <xf numFmtId="0" fontId="10" fillId="3" borderId="3" xfId="2" applyFill="1" applyBorder="1" applyAlignment="1" applyProtection="1">
      <alignment vertical="top"/>
    </xf>
    <xf numFmtId="0" fontId="0" fillId="3" borderId="7" xfId="0" applyFill="1" applyBorder="1" applyAlignment="1">
      <alignment vertical="top"/>
    </xf>
    <xf numFmtId="0" fontId="10" fillId="3" borderId="3" xfId="2" applyFill="1" applyBorder="1" applyAlignment="1" applyProtection="1">
      <alignment horizontal="left" vertical="top"/>
    </xf>
    <xf numFmtId="0" fontId="0" fillId="3" borderId="7" xfId="0" applyFill="1" applyBorder="1" applyAlignment="1">
      <alignment horizontal="left" vertical="top"/>
    </xf>
    <xf numFmtId="0" fontId="10" fillId="0" borderId="3" xfId="2" applyFill="1" applyBorder="1" applyAlignment="1" applyProtection="1">
      <alignment vertical="top"/>
    </xf>
    <xf numFmtId="0" fontId="0" fillId="0" borderId="7" xfId="0" applyBorder="1" applyAlignment="1">
      <alignment vertical="top"/>
    </xf>
    <xf numFmtId="0" fontId="0" fillId="0" borderId="1" xfId="0" applyBorder="1" applyAlignment="1">
      <alignment wrapText="1"/>
    </xf>
    <xf numFmtId="0" fontId="0" fillId="3" borderId="7" xfId="0" applyFill="1" applyBorder="1" applyAlignment="1">
      <alignment wrapText="1"/>
    </xf>
    <xf numFmtId="0" fontId="28" fillId="0" borderId="0" xfId="3" applyFont="1" applyAlignment="1">
      <alignment horizontal="center" wrapText="1"/>
    </xf>
    <xf numFmtId="0" fontId="29" fillId="0" borderId="1" xfId="3" applyFont="1" applyBorder="1" applyAlignment="1">
      <alignment horizontal="center"/>
    </xf>
    <xf numFmtId="16" fontId="29" fillId="0" borderId="1" xfId="3" quotePrefix="1" applyNumberFormat="1" applyFont="1" applyBorder="1" applyAlignment="1">
      <alignment horizontal="center" wrapText="1"/>
    </xf>
    <xf numFmtId="0" fontId="29" fillId="0" borderId="1" xfId="3" applyFont="1" applyBorder="1" applyAlignment="1">
      <alignment horizontal="center" wrapText="1"/>
    </xf>
    <xf numFmtId="17" fontId="29" fillId="0" borderId="1" xfId="3" quotePrefix="1" applyNumberFormat="1" applyFont="1" applyBorder="1" applyAlignment="1">
      <alignment horizontal="center"/>
    </xf>
    <xf numFmtId="0" fontId="29" fillId="0" borderId="1" xfId="3" quotePrefix="1" applyFont="1" applyBorder="1" applyAlignment="1">
      <alignment horizontal="center"/>
    </xf>
    <xf numFmtId="0" fontId="0" fillId="3" borderId="4" xfId="0" applyFill="1" applyBorder="1" applyAlignment="1">
      <alignment wrapText="1"/>
    </xf>
    <xf numFmtId="0" fontId="2" fillId="0" borderId="2" xfId="0" applyFont="1" applyBorder="1" applyAlignment="1">
      <alignment horizontal="center"/>
    </xf>
    <xf numFmtId="0" fontId="10" fillId="0" borderId="14" xfId="2" applyBorder="1" applyAlignment="1" applyProtection="1">
      <alignment vertical="top"/>
    </xf>
    <xf numFmtId="0" fontId="0" fillId="0" borderId="13" xfId="0" applyBorder="1" applyAlignment="1">
      <alignment vertical="top" wrapText="1"/>
    </xf>
    <xf numFmtId="0" fontId="2" fillId="0" borderId="3" xfId="0" applyFont="1" applyBorder="1" applyAlignment="1">
      <alignment horizontal="left"/>
    </xf>
    <xf numFmtId="0" fontId="2" fillId="0" borderId="7" xfId="0" applyFont="1" applyBorder="1" applyAlignment="1">
      <alignment horizontal="left"/>
    </xf>
    <xf numFmtId="0" fontId="2" fillId="0" borderId="4" xfId="0" applyFont="1" applyBorder="1" applyAlignment="1">
      <alignment horizontal="left"/>
    </xf>
    <xf numFmtId="0" fontId="5" fillId="2" borderId="0" xfId="0" applyFont="1" applyFill="1"/>
    <xf numFmtId="0" fontId="28" fillId="0" borderId="1" xfId="3" applyFont="1" applyBorder="1" applyAlignment="1">
      <alignment horizontal="left"/>
    </xf>
    <xf numFmtId="0" fontId="27" fillId="3" borderId="1" xfId="3" applyFont="1" applyFill="1" applyBorder="1" applyAlignment="1">
      <alignment horizontal="left"/>
    </xf>
    <xf numFmtId="0" fontId="2" fillId="0" borderId="1" xfId="3" applyFont="1" applyBorder="1" applyAlignment="1">
      <alignment horizontal="left"/>
    </xf>
    <xf numFmtId="0" fontId="2" fillId="6" borderId="6" xfId="0" applyFont="1" applyFill="1" applyBorder="1" applyAlignment="1">
      <alignment horizontal="center"/>
    </xf>
    <xf numFmtId="2" fontId="0" fillId="2" borderId="0" xfId="0" applyNumberFormat="1" applyFill="1"/>
    <xf numFmtId="2" fontId="0" fillId="3" borderId="6" xfId="0" applyNumberFormat="1" applyFill="1" applyBorder="1" applyAlignment="1">
      <alignment horizontal="center"/>
    </xf>
    <xf numFmtId="0" fontId="2" fillId="0" borderId="1" xfId="0" applyFont="1" applyBorder="1" applyAlignment="1">
      <alignment horizontal="center" vertical="top" wrapText="1"/>
    </xf>
    <xf numFmtId="2" fontId="2" fillId="0" borderId="1" xfId="0" applyNumberFormat="1" applyFont="1" applyBorder="1" applyAlignment="1">
      <alignment horizontal="center" vertical="top"/>
    </xf>
    <xf numFmtId="0" fontId="2" fillId="0" borderId="1" xfId="0" applyFont="1" applyBorder="1" applyAlignment="1">
      <alignment horizontal="center" vertical="top"/>
    </xf>
    <xf numFmtId="1" fontId="2" fillId="0" borderId="1" xfId="0" applyNumberFormat="1" applyFont="1" applyBorder="1" applyAlignment="1">
      <alignment horizontal="center" vertical="top"/>
    </xf>
    <xf numFmtId="164" fontId="2" fillId="0" borderId="1" xfId="0" applyNumberFormat="1" applyFont="1" applyBorder="1" applyAlignment="1">
      <alignment horizontal="center" vertical="top"/>
    </xf>
    <xf numFmtId="0" fontId="5" fillId="6" borderId="1" xfId="0" applyFont="1" applyFill="1" applyBorder="1" applyAlignment="1">
      <alignment horizontal="center" vertical="top" wrapText="1"/>
    </xf>
    <xf numFmtId="0" fontId="10" fillId="0" borderId="0" xfId="2" applyBorder="1" applyAlignment="1" applyProtection="1">
      <alignment horizontal="left"/>
    </xf>
    <xf numFmtId="0" fontId="10" fillId="0" borderId="0" xfId="2" applyFill="1" applyBorder="1" applyAlignment="1" applyProtection="1"/>
    <xf numFmtId="0" fontId="10" fillId="0" borderId="0" xfId="2" applyBorder="1" applyAlignment="1" applyProtection="1"/>
    <xf numFmtId="0" fontId="0" fillId="0" borderId="6" xfId="0" applyBorder="1" applyAlignment="1">
      <alignment horizontal="left"/>
    </xf>
    <xf numFmtId="0" fontId="10" fillId="0" borderId="6" xfId="2" applyBorder="1" applyAlignment="1" applyProtection="1">
      <alignment horizontal="left"/>
    </xf>
    <xf numFmtId="0" fontId="0" fillId="0" borderId="11" xfId="0" applyBorder="1" applyAlignment="1">
      <alignment horizontal="center"/>
    </xf>
    <xf numFmtId="0" fontId="0" fillId="0" borderId="11" xfId="0" applyBorder="1" applyAlignment="1">
      <alignment horizontal="left"/>
    </xf>
    <xf numFmtId="0" fontId="0" fillId="6" borderId="11" xfId="0" applyFill="1" applyBorder="1" applyAlignment="1">
      <alignment horizontal="center"/>
    </xf>
    <xf numFmtId="2" fontId="0" fillId="3" borderId="11" xfId="0" applyNumberFormat="1" applyFill="1" applyBorder="1" applyAlignment="1">
      <alignment horizontal="center"/>
    </xf>
    <xf numFmtId="0" fontId="1" fillId="0" borderId="6" xfId="0" applyFont="1" applyBorder="1"/>
    <xf numFmtId="0" fontId="0" fillId="0" borderId="14" xfId="0" applyBorder="1" applyAlignment="1">
      <alignment horizontal="left"/>
    </xf>
    <xf numFmtId="2" fontId="0" fillId="0" borderId="6" xfId="0" applyNumberFormat="1" applyBorder="1" applyAlignment="1">
      <alignment horizontal="center"/>
    </xf>
    <xf numFmtId="2" fontId="0" fillId="0" borderId="11" xfId="0" applyNumberFormat="1" applyBorder="1" applyAlignment="1">
      <alignment horizontal="center"/>
    </xf>
    <xf numFmtId="164" fontId="0" fillId="0" borderId="11" xfId="0" applyNumberFormat="1" applyBorder="1" applyAlignment="1">
      <alignment horizontal="center"/>
    </xf>
    <xf numFmtId="1" fontId="0" fillId="0" borderId="11" xfId="0" applyNumberFormat="1" applyBorder="1" applyAlignment="1">
      <alignment horizontal="center"/>
    </xf>
    <xf numFmtId="0" fontId="0" fillId="0" borderId="14" xfId="0" applyBorder="1" applyAlignment="1">
      <alignment horizontal="center"/>
    </xf>
    <xf numFmtId="2" fontId="0" fillId="0" borderId="14" xfId="0" applyNumberFormat="1" applyBorder="1" applyAlignment="1">
      <alignment horizontal="center"/>
    </xf>
    <xf numFmtId="164" fontId="0" fillId="0" borderId="14" xfId="0" applyNumberFormat="1" applyBorder="1" applyAlignment="1">
      <alignment horizontal="center"/>
    </xf>
    <xf numFmtId="1" fontId="0" fillId="0" borderId="14" xfId="0" applyNumberFormat="1" applyBorder="1" applyAlignment="1">
      <alignment horizontal="center"/>
    </xf>
    <xf numFmtId="0" fontId="0" fillId="0" borderId="4" xfId="0" applyBorder="1" applyAlignment="1">
      <alignment vertical="top"/>
    </xf>
    <xf numFmtId="0" fontId="0" fillId="0" borderId="7" xfId="0" applyBorder="1" applyAlignment="1">
      <alignment wrapText="1"/>
    </xf>
    <xf numFmtId="0" fontId="0" fillId="0" borderId="7" xfId="0" applyBorder="1" applyAlignment="1">
      <alignment vertical="top" wrapText="1"/>
    </xf>
    <xf numFmtId="0" fontId="0" fillId="3" borderId="4" xfId="0" applyFill="1" applyBorder="1" applyAlignment="1">
      <alignment vertical="top"/>
    </xf>
    <xf numFmtId="0" fontId="5" fillId="0" borderId="10" xfId="1" applyFont="1" applyBorder="1"/>
    <xf numFmtId="0" fontId="12" fillId="0" borderId="0" xfId="1" applyFont="1" applyAlignment="1">
      <alignment vertical="top" wrapText="1"/>
    </xf>
    <xf numFmtId="0" fontId="0" fillId="0" borderId="0" xfId="0" applyAlignment="1">
      <alignment wrapText="1"/>
    </xf>
    <xf numFmtId="0" fontId="2" fillId="3" borderId="3" xfId="0" applyFont="1" applyFill="1" applyBorder="1" applyAlignment="1">
      <alignment horizontal="center" wrapText="1"/>
    </xf>
    <xf numFmtId="0" fontId="2" fillId="0" borderId="7" xfId="0" applyFont="1" applyBorder="1" applyAlignment="1">
      <alignment horizontal="center" wrapText="1"/>
    </xf>
    <xf numFmtId="0" fontId="2" fillId="0" borderId="4" xfId="0" applyFont="1" applyBorder="1" applyAlignment="1">
      <alignment horizontal="center" wrapText="1"/>
    </xf>
    <xf numFmtId="0" fontId="10" fillId="0" borderId="3" xfId="2" applyBorder="1" applyAlignment="1" applyProtection="1">
      <alignment wrapText="1"/>
    </xf>
    <xf numFmtId="0" fontId="10" fillId="0" borderId="7" xfId="2" applyBorder="1" applyAlignment="1" applyProtection="1">
      <alignment wrapText="1"/>
    </xf>
    <xf numFmtId="0" fontId="10" fillId="0" borderId="4" xfId="2" applyBorder="1" applyAlignment="1" applyProtection="1">
      <alignment wrapText="1"/>
    </xf>
    <xf numFmtId="0" fontId="2" fillId="3" borderId="3" xfId="0" applyFont="1" applyFill="1" applyBorder="1" applyAlignment="1">
      <alignment horizontal="center" vertical="top"/>
    </xf>
    <xf numFmtId="0" fontId="2" fillId="3" borderId="7" xfId="0" applyFont="1" applyFill="1" applyBorder="1" applyAlignment="1">
      <alignment horizontal="center" vertical="top"/>
    </xf>
    <xf numFmtId="0" fontId="0" fillId="0" borderId="7" xfId="0" applyBorder="1" applyAlignment="1">
      <alignment horizontal="center" vertical="top"/>
    </xf>
    <xf numFmtId="0" fontId="0" fillId="0" borderId="4" xfId="0" applyBorder="1" applyAlignment="1">
      <alignment horizontal="center" vertical="top"/>
    </xf>
    <xf numFmtId="0" fontId="0" fillId="0" borderId="0" xfId="0"/>
    <xf numFmtId="0" fontId="2" fillId="0" borderId="0" xfId="0" applyFont="1"/>
    <xf numFmtId="0" fontId="2" fillId="0" borderId="0" xfId="0" applyFont="1" applyAlignment="1">
      <alignment horizontal="center"/>
    </xf>
    <xf numFmtId="0" fontId="2" fillId="3" borderId="3" xfId="0" applyFont="1" applyFill="1" applyBorder="1" applyAlignment="1">
      <alignment horizontal="center"/>
    </xf>
    <xf numFmtId="0" fontId="0" fillId="3" borderId="7" xfId="0" applyFill="1" applyBorder="1" applyAlignment="1">
      <alignment horizontal="center"/>
    </xf>
    <xf numFmtId="0" fontId="0" fillId="0" borderId="7" xfId="0" applyBorder="1"/>
    <xf numFmtId="0" fontId="0" fillId="0" borderId="4" xfId="0" applyBorder="1"/>
    <xf numFmtId="0" fontId="0" fillId="3" borderId="3" xfId="0" applyFill="1" applyBorder="1"/>
    <xf numFmtId="0" fontId="2" fillId="3" borderId="3" xfId="0" applyFont="1" applyFill="1" applyBorder="1"/>
    <xf numFmtId="0" fontId="7" fillId="3" borderId="1" xfId="0" applyFont="1" applyFill="1" applyBorder="1" applyAlignment="1">
      <alignment horizontal="center"/>
    </xf>
    <xf numFmtId="0" fontId="6" fillId="0" borderId="1" xfId="0" applyFont="1"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xf>
    <xf numFmtId="0" fontId="2" fillId="0" borderId="1" xfId="0" applyFont="1" applyBorder="1"/>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 xfId="0" applyFont="1" applyBorder="1" applyAlignment="1">
      <alignment vertical="center"/>
    </xf>
    <xf numFmtId="0" fontId="11" fillId="2" borderId="3" xfId="1" applyFont="1" applyFill="1" applyBorder="1" applyAlignment="1">
      <alignment horizontal="center"/>
    </xf>
    <xf numFmtId="0" fontId="11" fillId="2" borderId="7" xfId="1" applyFont="1" applyFill="1" applyBorder="1" applyAlignment="1">
      <alignment horizontal="center"/>
    </xf>
    <xf numFmtId="0" fontId="0" fillId="2" borderId="7" xfId="0" applyFill="1" applyBorder="1" applyAlignment="1">
      <alignment horizontal="center"/>
    </xf>
    <xf numFmtId="0" fontId="0" fillId="2" borderId="4" xfId="0" applyFill="1" applyBorder="1" applyAlignment="1">
      <alignment horizontal="center"/>
    </xf>
    <xf numFmtId="0" fontId="2" fillId="3" borderId="0" xfId="0" applyFont="1" applyFill="1" applyAlignment="1">
      <alignment horizontal="center"/>
    </xf>
    <xf numFmtId="0" fontId="0" fillId="3" borderId="0" xfId="0" applyFill="1" applyAlignment="1">
      <alignment horizontal="center"/>
    </xf>
    <xf numFmtId="0" fontId="2" fillId="3" borderId="1" xfId="0" applyFont="1" applyFill="1" applyBorder="1" applyAlignment="1">
      <alignment horizontal="center"/>
    </xf>
    <xf numFmtId="0" fontId="0" fillId="3" borderId="1" xfId="0" applyFill="1" applyBorder="1" applyAlignment="1">
      <alignment horizontal="center"/>
    </xf>
    <xf numFmtId="0" fontId="0" fillId="0" borderId="1" xfId="0" applyBorder="1"/>
  </cellXfs>
  <cellStyles count="4">
    <cellStyle name="Hyperlink" xfId="2" builtinId="8"/>
    <cellStyle name="Normal" xfId="0" builtinId="0"/>
    <cellStyle name="Normal 2" xfId="1" xr:uid="{00000000-0005-0000-0000-000002000000}"/>
    <cellStyle name="Normal 3" xfId="3" xr:uid="{00000000-0005-0000-0000-000003000000}"/>
  </cellStyles>
  <dxfs count="4">
    <dxf>
      <font>
        <color theme="1"/>
      </font>
      <fill>
        <patternFill>
          <bgColor theme="0" tint="-0.14996795556505021"/>
        </patternFill>
      </fill>
      <border>
        <left style="thin">
          <color auto="1"/>
        </left>
        <right style="thin">
          <color auto="1"/>
        </right>
        <top style="thin">
          <color auto="1"/>
        </top>
        <bottom style="thin">
          <color auto="1"/>
        </bottom>
        <vertical/>
        <horizontal/>
      </border>
    </dxf>
    <dxf>
      <font>
        <color theme="1"/>
      </font>
    </dxf>
    <dxf>
      <font>
        <color theme="1"/>
      </font>
      <fill>
        <patternFill>
          <bgColor theme="0" tint="-0.14996795556505021"/>
        </patternFill>
      </fill>
      <border>
        <left style="thin">
          <color auto="1"/>
        </left>
        <right style="thin">
          <color auto="1"/>
        </right>
        <top style="thin">
          <color auto="1"/>
        </top>
        <bottom style="thin">
          <color auto="1"/>
        </bottom>
        <vertical/>
        <horizontal/>
      </border>
    </dxf>
    <dxf>
      <font>
        <color theme="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'Visual Psychometric Converter'!$L$18</c:f>
          <c:strCache>
            <c:ptCount val="1"/>
            <c:pt idx="0">
              <c:v>Index (100,15) = 85_x000c_Percentile = 95</c:v>
            </c:pt>
          </c:strCache>
        </c:strRef>
      </c:tx>
      <c:overlay val="0"/>
      <c:txPr>
        <a:bodyPr/>
        <a:lstStyle/>
        <a:p>
          <a:pPr>
            <a:defRPr sz="1600"/>
          </a:pPr>
          <a:endParaRPr lang="en-US"/>
        </a:p>
      </c:txPr>
    </c:title>
    <c:autoTitleDeleted val="0"/>
    <c:plotArea>
      <c:layout/>
      <c:scatterChart>
        <c:scatterStyle val="smoothMarker"/>
        <c:varyColors val="0"/>
        <c:ser>
          <c:idx val="0"/>
          <c:order val="0"/>
          <c:tx>
            <c:strRef>
              <c:f>[1]Sheet2!$C$1</c:f>
              <c:strCache>
                <c:ptCount val="1"/>
                <c:pt idx="0">
                  <c:v>Curve</c:v>
                </c:pt>
              </c:strCache>
            </c:strRef>
          </c:tx>
          <c:marker>
            <c:symbol val="none"/>
          </c:marker>
          <c:errBars>
            <c:errDir val="y"/>
            <c:errBarType val="minus"/>
            <c:errValType val="cust"/>
            <c:noEndCap val="0"/>
            <c:plus>
              <c:numLit>
                <c:formatCode>General</c:formatCode>
                <c:ptCount val="1"/>
                <c:pt idx="0">
                  <c:v>1</c:v>
                </c:pt>
              </c:numLit>
            </c:plus>
            <c:minus>
              <c:numRef>
                <c:f>[1]Sheet2!$D$2:$D$182</c:f>
                <c:numCache>
                  <c:formatCode>General</c:formatCode>
                  <c:ptCount val="181"/>
                  <c:pt idx="0">
                    <c:v>#N/A</c:v>
                  </c:pt>
                  <c:pt idx="1">
                    <c:v>#N/A</c:v>
                  </c:pt>
                  <c:pt idx="2">
                    <c:v>#N/A</c:v>
                  </c:pt>
                  <c:pt idx="3">
                    <c:v>#N/A</c:v>
                  </c:pt>
                  <c:pt idx="4">
                    <c:v>#N/A</c:v>
                  </c:pt>
                  <c:pt idx="5">
                    <c:v>#N/A</c:v>
                  </c:pt>
                  <c:pt idx="6">
                    <c:v>#N/A</c:v>
                  </c:pt>
                  <c:pt idx="7">
                    <c:v>#N/A</c:v>
                  </c:pt>
                  <c:pt idx="8">
                    <c:v>#N/A</c:v>
                  </c:pt>
                  <c:pt idx="9">
                    <c:v>#N/A</c:v>
                  </c:pt>
                  <c:pt idx="10">
                    <c:v>1.7708679390146086E-8</c:v>
                  </c:pt>
                  <c:pt idx="11">
                    <c:v>2.5213718057154917E-8</c:v>
                  </c:pt>
                  <c:pt idx="12">
                    <c:v>3.5740235631317432E-8</c:v>
                  </c:pt>
                  <c:pt idx="13">
                    <c:v>5.0436824195178719E-8</c:v>
                  </c:pt>
                  <c:pt idx="14">
                    <c:v>7.0861094628696148E-8</c:v>
                  </c:pt>
                  <c:pt idx="15">
                    <c:v>9.9114634315619862E-8</c:v>
                  </c:pt>
                  <c:pt idx="16">
                    <c:v>1.3801856619470783E-7</c:v>
                  </c:pt>
                  <c:pt idx="17">
                    <c:v>1.9134056065903E-7</c:v>
                  </c:pt>
                  <c:pt idx="18">
                    <c:v>2.6408660606880502E-7</c:v>
                  </c:pt>
                  <c:pt idx="19">
                    <c:v>3.6287371472533919E-7</c:v>
                  </c:pt>
                  <c:pt idx="20">
                    <c:v>4.9640305804199928E-7</c:v>
                  </c:pt>
                  <c:pt idx="21">
                    <c:v>6.7605680436578396E-7</c:v>
                  </c:pt>
                  <c:pt idx="22">
                    <c:v>9.1664617489622463E-7</c:v>
                  </c:pt>
                  <c:pt idx="23">
                    <c:v>1.2373429126145209E-6</c:v>
                  </c:pt>
                  <c:pt idx="24">
                    <c:v>1.6628314193369024E-6</c:v>
                  </c:pt>
                  <c:pt idx="25">
                    <c:v>2.2247241597092284E-6</c:v>
                  </c:pt>
                  <c:pt idx="26">
                    <c:v>2.9632884112517205E-6</c:v>
                  </c:pt>
                  <c:pt idx="27">
                    <c:v>3.92953785043599E-6</c:v>
                  </c:pt>
                  <c:pt idx="28">
                    <c:v>5.1877475320245033E-6</c:v>
                  </c:pt>
                  <c:pt idx="29">
                    <c:v>6.8184551920523163E-6</c:v>
                  </c:pt>
                  <c:pt idx="30">
                    <c:v>8.9220150509923572E-6</c:v>
                  </c:pt>
                  <c:pt idx="31">
                    <c:v>1.1622771894357563E-5</c:v>
                  </c:pt>
                  <c:pt idx="32">
                    <c:v>1.5073922560245645E-5</c:v>
                  </c:pt>
                  <c:pt idx="33">
                    <c:v>1.9463128386097353E-5</c:v>
                  </c:pt>
                  <c:pt idx="34">
                    <c:v>2.5018934914508668E-5</c:v>
                  </c:pt>
                  <c:pt idx="35">
                    <c:v>3.2018043441388044E-5</c:v>
                  </c:pt>
                  <c:pt idx="36">
                    <c:v>4.0793462007584798E-5</c:v>
                  </c:pt>
                  <c:pt idx="37">
                    <c:v>5.1743540413927261E-5</c:v>
                  </c:pt>
                  <c:pt idx="38">
                    <c:v>6.5341864085024788E-5</c:v>
                  </c:pt>
                  <c:pt idx="39">
                    <c:v>8.2147944564867997E-5</c:v>
                  </c:pt>
                  <c:pt idx="40">
                    <c:v>1.0281859975274034E-4</c:v>
                  </c:pt>
                  <c:pt idx="41">
                    <c:v>1.2811986462346725E-4</c:v>
                  </c:pt>
                  <c:pt idx="42">
                    <c:v>1.5893921343098936E-4</c:v>
                  </c:pt>
                  <c:pt idx="43">
                    <c:v>1.9629780802555731E-4</c:v>
                  </c:pt>
                  <c:pt idx="44">
                    <c:v>2.4136241520128577E-4</c:v>
                  </c:pt>
                  <c:pt idx="45">
                    <c:v>2.9545656079586714E-4</c:v>
                  </c:pt>
                  <c:pt idx="46">
                    <c:v>3.6007041207962535E-4</c:v>
                  </c:pt>
                  <c:pt idx="47">
                    <c:v>4.3686880593423475E-4</c:v>
                  </c:pt>
                  <c:pt idx="48">
                    <c:v>5.2769677219866452E-4</c:v>
                  </c:pt>
                  <c:pt idx="49">
                    <c:v>6.3458184368914595E-4</c:v>
                  </c:pt>
                  <c:pt idx="50">
                    <c:v>7.597324015864961E-4</c:v>
                  </c:pt>
                  <c:pt idx="51">
                    <c:v>9.0553128224570749E-4</c:v>
                  </c:pt>
                  <c:pt idx="52">
                    <c:v>1.0745238742432661E-3</c:v>
                  </c:pt>
                  <c:pt idx="53">
                    <c:v>1.2693999677100174E-3</c:v>
                  </c:pt>
                  <c:pt idx="54">
                    <c:v>1.49296868632286E-3</c:v>
                  </c:pt>
                  <c:pt idx="55">
                    <c:v>1.7481259395806324E-3</c:v>
                  </c:pt>
                  <c:pt idx="56">
                    <c:v>2.0378139818590327E-3</c:v>
                  </c:pt>
                  <c:pt idx="57">
                    <c:v>2.3649728564154281E-3</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numCache>
              </c:numRef>
            </c:minus>
            <c:spPr>
              <a:ln w="38100">
                <a:solidFill>
                  <a:schemeClr val="accent1"/>
                </a:solidFill>
              </a:ln>
            </c:spPr>
          </c:errBars>
          <c:xVal>
            <c:numRef>
              <c:f>[1]Sheet2!$B$2:$B$182</c:f>
              <c:numCache>
                <c:formatCode>General</c:formatCode>
                <c:ptCount val="181"/>
                <c:pt idx="0">
                  <c:v>#N/A</c:v>
                </c:pt>
                <c:pt idx="1">
                  <c:v>#N/A</c:v>
                </c:pt>
                <c:pt idx="2">
                  <c:v>#N/A</c:v>
                </c:pt>
                <c:pt idx="3">
                  <c:v>#N/A</c:v>
                </c:pt>
                <c:pt idx="4">
                  <c:v>#N/A</c:v>
                </c:pt>
                <c:pt idx="5">
                  <c:v>#N/A</c:v>
                </c:pt>
                <c:pt idx="6">
                  <c:v>#N/A</c:v>
                </c:pt>
                <c:pt idx="7">
                  <c:v>#N/A</c:v>
                </c:pt>
                <c:pt idx="8">
                  <c:v>#N/A</c:v>
                </c:pt>
                <c:pt idx="9">
                  <c:v>#N/A</c:v>
                </c:pt>
                <c:pt idx="10">
                  <c:v>-62.319999999999993</c:v>
                </c:pt>
                <c:pt idx="11">
                  <c:v>-60.915999999999997</c:v>
                </c:pt>
                <c:pt idx="12">
                  <c:v>-59.511999999999986</c:v>
                </c:pt>
                <c:pt idx="13">
                  <c:v>-58.10799999999999</c:v>
                </c:pt>
                <c:pt idx="14">
                  <c:v>-56.703999999999994</c:v>
                </c:pt>
                <c:pt idx="15">
                  <c:v>-55.3</c:v>
                </c:pt>
                <c:pt idx="16">
                  <c:v>-53.895999999999987</c:v>
                </c:pt>
                <c:pt idx="17">
                  <c:v>-52.49199999999999</c:v>
                </c:pt>
                <c:pt idx="18">
                  <c:v>-51.087999999999994</c:v>
                </c:pt>
                <c:pt idx="19">
                  <c:v>-49.683999999999997</c:v>
                </c:pt>
                <c:pt idx="20">
                  <c:v>-48.279999999999987</c:v>
                </c:pt>
                <c:pt idx="21">
                  <c:v>-46.875999999999991</c:v>
                </c:pt>
                <c:pt idx="22">
                  <c:v>-45.471999999999994</c:v>
                </c:pt>
                <c:pt idx="23">
                  <c:v>-44.067999999999998</c:v>
                </c:pt>
                <c:pt idx="24">
                  <c:v>-42.663999999999987</c:v>
                </c:pt>
                <c:pt idx="25">
                  <c:v>-41.259999999999991</c:v>
                </c:pt>
                <c:pt idx="26">
                  <c:v>-39.855999999999995</c:v>
                </c:pt>
                <c:pt idx="27">
                  <c:v>-38.451999999999998</c:v>
                </c:pt>
                <c:pt idx="28">
                  <c:v>-37.048000000000002</c:v>
                </c:pt>
                <c:pt idx="29">
                  <c:v>-35.643999999999991</c:v>
                </c:pt>
                <c:pt idx="30">
                  <c:v>-34.239999999999995</c:v>
                </c:pt>
                <c:pt idx="31">
                  <c:v>-32.835999999999999</c:v>
                </c:pt>
                <c:pt idx="32">
                  <c:v>-31.432000000000002</c:v>
                </c:pt>
                <c:pt idx="33">
                  <c:v>-30.027999999999992</c:v>
                </c:pt>
                <c:pt idx="34">
                  <c:v>-28.623999999999995</c:v>
                </c:pt>
                <c:pt idx="35">
                  <c:v>-27.22</c:v>
                </c:pt>
                <c:pt idx="36">
                  <c:v>-25.816000000000003</c:v>
                </c:pt>
                <c:pt idx="37">
                  <c:v>-24.411999999999992</c:v>
                </c:pt>
                <c:pt idx="38">
                  <c:v>-23.007999999999996</c:v>
                </c:pt>
                <c:pt idx="39">
                  <c:v>-21.603999999999999</c:v>
                </c:pt>
                <c:pt idx="40">
                  <c:v>-20.200000000000003</c:v>
                </c:pt>
                <c:pt idx="41">
                  <c:v>-18.795999999999992</c:v>
                </c:pt>
                <c:pt idx="42">
                  <c:v>-17.391999999999996</c:v>
                </c:pt>
                <c:pt idx="43">
                  <c:v>-15.988</c:v>
                </c:pt>
                <c:pt idx="44">
                  <c:v>-14.584000000000003</c:v>
                </c:pt>
                <c:pt idx="45">
                  <c:v>-13.179999999999993</c:v>
                </c:pt>
                <c:pt idx="46">
                  <c:v>-11.775999999999996</c:v>
                </c:pt>
                <c:pt idx="47">
                  <c:v>-10.371999999999993</c:v>
                </c:pt>
                <c:pt idx="48">
                  <c:v>-8.9679999999999964</c:v>
                </c:pt>
                <c:pt idx="49">
                  <c:v>-7.563999999999993</c:v>
                </c:pt>
                <c:pt idx="50">
                  <c:v>-6.1599999999999966</c:v>
                </c:pt>
                <c:pt idx="51">
                  <c:v>-4.7559999999999931</c:v>
                </c:pt>
                <c:pt idx="52">
                  <c:v>-3.3519999999999968</c:v>
                </c:pt>
                <c:pt idx="53">
                  <c:v>-1.9479999999999933</c:v>
                </c:pt>
                <c:pt idx="54">
                  <c:v>-0.54399999999999693</c:v>
                </c:pt>
                <c:pt idx="55">
                  <c:v>0.86000000000000654</c:v>
                </c:pt>
                <c:pt idx="56">
                  <c:v>2.2640000000000029</c:v>
                </c:pt>
                <c:pt idx="57">
                  <c:v>3.6680000000000064</c:v>
                </c:pt>
                <c:pt idx="58">
                  <c:v>5.0720000000000027</c:v>
                </c:pt>
                <c:pt idx="59">
                  <c:v>6.4759999999999991</c:v>
                </c:pt>
                <c:pt idx="60">
                  <c:v>7.8800000000000026</c:v>
                </c:pt>
                <c:pt idx="61">
                  <c:v>9.2839999999999989</c:v>
                </c:pt>
                <c:pt idx="62">
                  <c:v>10.688000000000002</c:v>
                </c:pt>
                <c:pt idx="63">
                  <c:v>12.091999999999999</c:v>
                </c:pt>
                <c:pt idx="64">
                  <c:v>13.496000000000002</c:v>
                </c:pt>
                <c:pt idx="65">
                  <c:v>14.899999999999999</c:v>
                </c:pt>
                <c:pt idx="66">
                  <c:v>16.304000000000002</c:v>
                </c:pt>
                <c:pt idx="67">
                  <c:v>17.707999999999998</c:v>
                </c:pt>
                <c:pt idx="68">
                  <c:v>19.112000000000002</c:v>
                </c:pt>
                <c:pt idx="69">
                  <c:v>20.516000000000002</c:v>
                </c:pt>
                <c:pt idx="70">
                  <c:v>21.92</c:v>
                </c:pt>
                <c:pt idx="71">
                  <c:v>23.324000000000002</c:v>
                </c:pt>
                <c:pt idx="72">
                  <c:v>24.728000000000002</c:v>
                </c:pt>
                <c:pt idx="73">
                  <c:v>26.132000000000001</c:v>
                </c:pt>
                <c:pt idx="74">
                  <c:v>27.536000000000001</c:v>
                </c:pt>
                <c:pt idx="75">
                  <c:v>28.94</c:v>
                </c:pt>
                <c:pt idx="76">
                  <c:v>30.344000000000001</c:v>
                </c:pt>
                <c:pt idx="77">
                  <c:v>31.748000000000001</c:v>
                </c:pt>
                <c:pt idx="78">
                  <c:v>33.152000000000001</c:v>
                </c:pt>
                <c:pt idx="79">
                  <c:v>34.555999999999997</c:v>
                </c:pt>
                <c:pt idx="80">
                  <c:v>35.96</c:v>
                </c:pt>
                <c:pt idx="81">
                  <c:v>37.364000000000004</c:v>
                </c:pt>
                <c:pt idx="82">
                  <c:v>38.768000000000001</c:v>
                </c:pt>
                <c:pt idx="83">
                  <c:v>40.171999999999997</c:v>
                </c:pt>
                <c:pt idx="84">
                  <c:v>41.576000000000001</c:v>
                </c:pt>
                <c:pt idx="85">
                  <c:v>42.980000000000004</c:v>
                </c:pt>
                <c:pt idx="86">
                  <c:v>44.384</c:v>
                </c:pt>
                <c:pt idx="87">
                  <c:v>45.787999999999997</c:v>
                </c:pt>
                <c:pt idx="88">
                  <c:v>47.192</c:v>
                </c:pt>
                <c:pt idx="89">
                  <c:v>48.596000000000004</c:v>
                </c:pt>
                <c:pt idx="90">
                  <c:v>50</c:v>
                </c:pt>
                <c:pt idx="91">
                  <c:v>51.403999999999996</c:v>
                </c:pt>
                <c:pt idx="92">
                  <c:v>52.808</c:v>
                </c:pt>
                <c:pt idx="93">
                  <c:v>54.212000000000003</c:v>
                </c:pt>
                <c:pt idx="94">
                  <c:v>55.616</c:v>
                </c:pt>
                <c:pt idx="95">
                  <c:v>57.019999999999996</c:v>
                </c:pt>
                <c:pt idx="96">
                  <c:v>58.423999999999999</c:v>
                </c:pt>
                <c:pt idx="97">
                  <c:v>59.828000000000003</c:v>
                </c:pt>
                <c:pt idx="98">
                  <c:v>61.231999999999999</c:v>
                </c:pt>
                <c:pt idx="99">
                  <c:v>62.635999999999996</c:v>
                </c:pt>
                <c:pt idx="100">
                  <c:v>64.039999999999992</c:v>
                </c:pt>
                <c:pt idx="101">
                  <c:v>65.444000000000003</c:v>
                </c:pt>
                <c:pt idx="102">
                  <c:v>66.847999999999999</c:v>
                </c:pt>
                <c:pt idx="103">
                  <c:v>68.251999999999995</c:v>
                </c:pt>
                <c:pt idx="104">
                  <c:v>69.656000000000006</c:v>
                </c:pt>
                <c:pt idx="105">
                  <c:v>71.06</c:v>
                </c:pt>
                <c:pt idx="106">
                  <c:v>72.463999999999999</c:v>
                </c:pt>
                <c:pt idx="107">
                  <c:v>73.867999999999995</c:v>
                </c:pt>
                <c:pt idx="108">
                  <c:v>75.271999999999991</c:v>
                </c:pt>
                <c:pt idx="109">
                  <c:v>76.676000000000002</c:v>
                </c:pt>
                <c:pt idx="110">
                  <c:v>78.08</c:v>
                </c:pt>
                <c:pt idx="111">
                  <c:v>79.483999999999995</c:v>
                </c:pt>
                <c:pt idx="112">
                  <c:v>80.888000000000005</c:v>
                </c:pt>
                <c:pt idx="113">
                  <c:v>82.292000000000002</c:v>
                </c:pt>
                <c:pt idx="114">
                  <c:v>83.695999999999998</c:v>
                </c:pt>
                <c:pt idx="115">
                  <c:v>85.1</c:v>
                </c:pt>
                <c:pt idx="116">
                  <c:v>86.503999999999991</c:v>
                </c:pt>
                <c:pt idx="117">
                  <c:v>87.908000000000001</c:v>
                </c:pt>
                <c:pt idx="118">
                  <c:v>89.311999999999998</c:v>
                </c:pt>
                <c:pt idx="119">
                  <c:v>90.716000000000008</c:v>
                </c:pt>
                <c:pt idx="120">
                  <c:v>92.12</c:v>
                </c:pt>
                <c:pt idx="121">
                  <c:v>93.524000000000001</c:v>
                </c:pt>
                <c:pt idx="122">
                  <c:v>94.927999999999997</c:v>
                </c:pt>
                <c:pt idx="123">
                  <c:v>96.331999999999994</c:v>
                </c:pt>
                <c:pt idx="124">
                  <c:v>97.73599999999999</c:v>
                </c:pt>
                <c:pt idx="125">
                  <c:v>99.139999999999986</c:v>
                </c:pt>
                <c:pt idx="126">
                  <c:v>100.544</c:v>
                </c:pt>
                <c:pt idx="127">
                  <c:v>101.94799999999999</c:v>
                </c:pt>
                <c:pt idx="128">
                  <c:v>103.352</c:v>
                </c:pt>
                <c:pt idx="129">
                  <c:v>104.756</c:v>
                </c:pt>
                <c:pt idx="130">
                  <c:v>106.16</c:v>
                </c:pt>
                <c:pt idx="131">
                  <c:v>107.56399999999999</c:v>
                </c:pt>
                <c:pt idx="132">
                  <c:v>108.96799999999999</c:v>
                </c:pt>
                <c:pt idx="133">
                  <c:v>110.37199999999999</c:v>
                </c:pt>
                <c:pt idx="134">
                  <c:v>111.776</c:v>
                </c:pt>
                <c:pt idx="135">
                  <c:v>113.17999999999999</c:v>
                </c:pt>
                <c:pt idx="136">
                  <c:v>114.584</c:v>
                </c:pt>
                <c:pt idx="137">
                  <c:v>115.988</c:v>
                </c:pt>
                <c:pt idx="138">
                  <c:v>117.392</c:v>
                </c:pt>
                <c:pt idx="139">
                  <c:v>118.79599999999999</c:v>
                </c:pt>
                <c:pt idx="140">
                  <c:v>120.2</c:v>
                </c:pt>
                <c:pt idx="141">
                  <c:v>121.604</c:v>
                </c:pt>
                <c:pt idx="142">
                  <c:v>123.008</c:v>
                </c:pt>
                <c:pt idx="143">
                  <c:v>124.41199999999999</c:v>
                </c:pt>
                <c:pt idx="144">
                  <c:v>125.816</c:v>
                </c:pt>
                <c:pt idx="145">
                  <c:v>127.22</c:v>
                </c:pt>
                <c:pt idx="146">
                  <c:v>128.624</c:v>
                </c:pt>
                <c:pt idx="147">
                  <c:v>130.02799999999999</c:v>
                </c:pt>
                <c:pt idx="148">
                  <c:v>131.43200000000002</c:v>
                </c:pt>
                <c:pt idx="149">
                  <c:v>132.83600000000001</c:v>
                </c:pt>
                <c:pt idx="150">
                  <c:v>134.24</c:v>
                </c:pt>
                <c:pt idx="151">
                  <c:v>135.64400000000001</c:v>
                </c:pt>
                <c:pt idx="152">
                  <c:v>137.048</c:v>
                </c:pt>
                <c:pt idx="153">
                  <c:v>138.452</c:v>
                </c:pt>
                <c:pt idx="154">
                  <c:v>139.85599999999999</c:v>
                </c:pt>
                <c:pt idx="155">
                  <c:v>141.26</c:v>
                </c:pt>
                <c:pt idx="156">
                  <c:v>142.66399999999999</c:v>
                </c:pt>
                <c:pt idx="157">
                  <c:v>144.06799999999998</c:v>
                </c:pt>
                <c:pt idx="158">
                  <c:v>145.47199999999998</c:v>
                </c:pt>
                <c:pt idx="159">
                  <c:v>146.87599999999998</c:v>
                </c:pt>
                <c:pt idx="160">
                  <c:v>148.27999999999997</c:v>
                </c:pt>
                <c:pt idx="161">
                  <c:v>149.684</c:v>
                </c:pt>
                <c:pt idx="162">
                  <c:v>151.08799999999999</c:v>
                </c:pt>
                <c:pt idx="163">
                  <c:v>152.49199999999999</c:v>
                </c:pt>
                <c:pt idx="164">
                  <c:v>153.89599999999999</c:v>
                </c:pt>
                <c:pt idx="165">
                  <c:v>155.30000000000001</c:v>
                </c:pt>
                <c:pt idx="166">
                  <c:v>156.70400000000001</c:v>
                </c:pt>
                <c:pt idx="167">
                  <c:v>158.108</c:v>
                </c:pt>
                <c:pt idx="168">
                  <c:v>159.512</c:v>
                </c:pt>
                <c:pt idx="169">
                  <c:v>160.916</c:v>
                </c:pt>
                <c:pt idx="170">
                  <c:v>162.32</c:v>
                </c:pt>
                <c:pt idx="171">
                  <c:v>#N/A</c:v>
                </c:pt>
                <c:pt idx="172">
                  <c:v>#N/A</c:v>
                </c:pt>
                <c:pt idx="173">
                  <c:v>#N/A</c:v>
                </c:pt>
                <c:pt idx="174">
                  <c:v>#N/A</c:v>
                </c:pt>
                <c:pt idx="175">
                  <c:v>#N/A</c:v>
                </c:pt>
                <c:pt idx="176">
                  <c:v>#N/A</c:v>
                </c:pt>
                <c:pt idx="177">
                  <c:v>#N/A</c:v>
                </c:pt>
                <c:pt idx="178">
                  <c:v>#N/A</c:v>
                </c:pt>
                <c:pt idx="179">
                  <c:v>#N/A</c:v>
                </c:pt>
                <c:pt idx="180">
                  <c:v>#N/A</c:v>
                </c:pt>
              </c:numCache>
            </c:numRef>
          </c:xVal>
          <c:yVal>
            <c:numRef>
              <c:f>[1]Sheet2!$C$2:$C$182</c:f>
              <c:numCache>
                <c:formatCode>General</c:formatCode>
                <c:ptCount val="181"/>
                <c:pt idx="0">
                  <c:v>4.0505885665488572E-10</c:v>
                </c:pt>
                <c:pt idx="1">
                  <c:v>6.0293545994552936E-10</c:v>
                </c:pt>
                <c:pt idx="2">
                  <c:v>8.9349746079570869E-10</c:v>
                </c:pt>
                <c:pt idx="3">
                  <c:v>1.3182130937496449E-9</c:v>
                </c:pt>
                <c:pt idx="4">
                  <c:v>1.936188881945825E-9</c:v>
                </c:pt>
                <c:pt idx="5">
                  <c:v>2.8312591643032578E-9</c:v>
                </c:pt>
                <c:pt idx="6">
                  <c:v>4.1217470001105717E-9</c:v>
                </c:pt>
                <c:pt idx="7">
                  <c:v>5.9738297073246592E-9</c:v>
                </c:pt>
                <c:pt idx="8">
                  <c:v>8.6197396432254563E-9</c:v>
                </c:pt>
                <c:pt idx="9">
                  <c:v>1.2382412297035264E-8</c:v>
                </c:pt>
                <c:pt idx="10">
                  <c:v>1.7708679390146086E-8</c:v>
                </c:pt>
                <c:pt idx="11">
                  <c:v>2.5213718057154917E-8</c:v>
                </c:pt>
                <c:pt idx="12">
                  <c:v>3.5740235631317432E-8</c:v>
                </c:pt>
                <c:pt idx="13">
                  <c:v>5.0436824195178719E-8</c:v>
                </c:pt>
                <c:pt idx="14">
                  <c:v>7.0861094628696148E-8</c:v>
                </c:pt>
                <c:pt idx="15">
                  <c:v>9.9114634315619862E-8</c:v>
                </c:pt>
                <c:pt idx="16">
                  <c:v>1.3801856619470783E-7</c:v>
                </c:pt>
                <c:pt idx="17">
                  <c:v>1.9134056065903E-7</c:v>
                </c:pt>
                <c:pt idx="18">
                  <c:v>2.6408660606880502E-7</c:v>
                </c:pt>
                <c:pt idx="19">
                  <c:v>3.6287371472533919E-7</c:v>
                </c:pt>
                <c:pt idx="20">
                  <c:v>4.9640305804199928E-7</c:v>
                </c:pt>
                <c:pt idx="21">
                  <c:v>6.7605680436578396E-7</c:v>
                </c:pt>
                <c:pt idx="22">
                  <c:v>9.1664617489622463E-7</c:v>
                </c:pt>
                <c:pt idx="23">
                  <c:v>1.2373429126145209E-6</c:v>
                </c:pt>
                <c:pt idx="24">
                  <c:v>1.6628314193369024E-6</c:v>
                </c:pt>
                <c:pt idx="25">
                  <c:v>2.2247241597092284E-6</c:v>
                </c:pt>
                <c:pt idx="26">
                  <c:v>2.9632884112517205E-6</c:v>
                </c:pt>
                <c:pt idx="27">
                  <c:v>3.92953785043599E-6</c:v>
                </c:pt>
                <c:pt idx="28">
                  <c:v>5.1877475320245033E-6</c:v>
                </c:pt>
                <c:pt idx="29">
                  <c:v>6.8184551920523163E-6</c:v>
                </c:pt>
                <c:pt idx="30">
                  <c:v>8.9220150509923572E-6</c:v>
                </c:pt>
                <c:pt idx="31">
                  <c:v>1.1622771894357563E-5</c:v>
                </c:pt>
                <c:pt idx="32">
                  <c:v>1.5073922560245645E-5</c:v>
                </c:pt>
                <c:pt idx="33">
                  <c:v>1.9463128386097353E-5</c:v>
                </c:pt>
                <c:pt idx="34">
                  <c:v>2.5018934914508668E-5</c:v>
                </c:pt>
                <c:pt idx="35">
                  <c:v>3.2018043441388044E-5</c:v>
                </c:pt>
                <c:pt idx="36">
                  <c:v>4.0793462007584798E-5</c:v>
                </c:pt>
                <c:pt idx="37">
                  <c:v>5.1743540413927261E-5</c:v>
                </c:pt>
                <c:pt idx="38">
                  <c:v>6.5341864085024788E-5</c:v>
                </c:pt>
                <c:pt idx="39">
                  <c:v>8.2147944564867997E-5</c:v>
                </c:pt>
                <c:pt idx="40">
                  <c:v>1.0281859975274034E-4</c:v>
                </c:pt>
                <c:pt idx="41">
                  <c:v>1.2811986462346725E-4</c:v>
                </c:pt>
                <c:pt idx="42">
                  <c:v>1.5893921343098936E-4</c:v>
                </c:pt>
                <c:pt idx="43">
                  <c:v>1.9629780802555731E-4</c:v>
                </c:pt>
                <c:pt idx="44">
                  <c:v>2.4136241520128577E-4</c:v>
                </c:pt>
                <c:pt idx="45">
                  <c:v>2.9545656079586714E-4</c:v>
                </c:pt>
                <c:pt idx="46">
                  <c:v>3.6007041207962535E-4</c:v>
                </c:pt>
                <c:pt idx="47">
                  <c:v>4.3686880593423475E-4</c:v>
                </c:pt>
                <c:pt idx="48">
                  <c:v>5.2769677219866452E-4</c:v>
                </c:pt>
                <c:pt idx="49">
                  <c:v>6.3458184368914595E-4</c:v>
                </c:pt>
                <c:pt idx="50">
                  <c:v>7.597324015864961E-4</c:v>
                </c:pt>
                <c:pt idx="51">
                  <c:v>9.0553128224570749E-4</c:v>
                </c:pt>
                <c:pt idx="52">
                  <c:v>1.0745238742432661E-3</c:v>
                </c:pt>
                <c:pt idx="53">
                  <c:v>1.2693999677100174E-3</c:v>
                </c:pt>
                <c:pt idx="54">
                  <c:v>1.49296868632286E-3</c:v>
                </c:pt>
                <c:pt idx="55">
                  <c:v>1.7481259395806324E-3</c:v>
                </c:pt>
                <c:pt idx="56">
                  <c:v>2.0378139818590327E-3</c:v>
                </c:pt>
                <c:pt idx="57">
                  <c:v>2.3649728564154281E-3</c:v>
                </c:pt>
                <c:pt idx="58">
                  <c:v>2.732483736348146E-3</c:v>
                </c:pt>
                <c:pt idx="59">
                  <c:v>3.1431044477247712E-3</c:v>
                </c:pt>
                <c:pt idx="60">
                  <c:v>3.5993977675458709E-3</c:v>
                </c:pt>
                <c:pt idx="61">
                  <c:v>4.1036534232898186E-3</c:v>
                </c:pt>
                <c:pt idx="62">
                  <c:v>4.6578050713943445E-3</c:v>
                </c:pt>
                <c:pt idx="63">
                  <c:v>5.2633438867262768E-3</c:v>
                </c:pt>
                <c:pt idx="64">
                  <c:v>5.92123073937279E-3</c:v>
                </c:pt>
                <c:pt idx="65">
                  <c:v>6.6318092528499118E-3</c:v>
                </c:pt>
                <c:pt idx="66">
                  <c:v>7.3947223119637025E-3</c:v>
                </c:pt>
                <c:pt idx="67">
                  <c:v>8.208834801723304E-3</c:v>
                </c:pt>
                <c:pt idx="68">
                  <c:v>9.072165494151874E-3</c:v>
                </c:pt>
                <c:pt idx="69">
                  <c:v>9.9818310423829913E-3</c:v>
                </c:pt>
                <c:pt idx="70">
                  <c:v>1.0934004978399576E-2</c:v>
                </c:pt>
                <c:pt idx="71">
                  <c:v>1.192389443296937E-2</c:v>
                </c:pt>
                <c:pt idx="72">
                  <c:v>1.2945736998880863E-2</c:v>
                </c:pt>
                <c:pt idx="73">
                  <c:v>1.3992819741648285E-2</c:v>
                </c:pt>
                <c:pt idx="74">
                  <c:v>1.505752183114163E-2</c:v>
                </c:pt>
                <c:pt idx="75">
                  <c:v>1.613138163460956E-2</c:v>
                </c:pt>
                <c:pt idx="76">
                  <c:v>1.7205188393549176E-2</c:v>
                </c:pt>
                <c:pt idx="77">
                  <c:v>1.8269097826468562E-2</c:v>
                </c:pt>
                <c:pt idx="78">
                  <c:v>1.9312770184098847E-2</c:v>
                </c:pt>
                <c:pt idx="79">
                  <c:v>2.032552846403448E-2</c:v>
                </c:pt>
                <c:pt idx="80">
                  <c:v>2.129653370149015E-2</c:v>
                </c:pt>
                <c:pt idx="81">
                  <c:v>2.2214973526119976E-2</c:v>
                </c:pt>
                <c:pt idx="82">
                  <c:v>2.3070259545128195E-2</c:v>
                </c:pt>
                <c:pt idx="83">
                  <c:v>2.3852228611197932E-2</c:v>
                </c:pt>
                <c:pt idx="84">
                  <c:v>2.4551342686888224E-2</c:v>
                </c:pt>
                <c:pt idx="85">
                  <c:v>2.5158881846199542E-2</c:v>
                </c:pt>
                <c:pt idx="86">
                  <c:v>2.5667124973067602E-2</c:v>
                </c:pt>
                <c:pt idx="87">
                  <c:v>2.6069512931697059E-2</c:v>
                </c:pt>
                <c:pt idx="88">
                  <c:v>2.6360789392387847E-2</c:v>
                </c:pt>
                <c:pt idx="89">
                  <c:v>2.6537115087596815E-2</c:v>
                </c:pt>
                <c:pt idx="90">
                  <c:v>2.6596152026762181E-2</c:v>
                </c:pt>
                <c:pt idx="91">
                  <c:v>2.6537115087596815E-2</c:v>
                </c:pt>
                <c:pt idx="92">
                  <c:v>2.6360789392387847E-2</c:v>
                </c:pt>
                <c:pt idx="93">
                  <c:v>2.6069512931697059E-2</c:v>
                </c:pt>
                <c:pt idx="94">
                  <c:v>2.5667124973067602E-2</c:v>
                </c:pt>
                <c:pt idx="95">
                  <c:v>2.5158881846199542E-2</c:v>
                </c:pt>
                <c:pt idx="96">
                  <c:v>2.4551342686888224E-2</c:v>
                </c:pt>
                <c:pt idx="97">
                  <c:v>2.3852228611197932E-2</c:v>
                </c:pt>
                <c:pt idx="98">
                  <c:v>2.3070259545128195E-2</c:v>
                </c:pt>
                <c:pt idx="99">
                  <c:v>2.2214973526119976E-2</c:v>
                </c:pt>
                <c:pt idx="100">
                  <c:v>2.129653370149015E-2</c:v>
                </c:pt>
                <c:pt idx="101">
                  <c:v>2.032552846403448E-2</c:v>
                </c:pt>
                <c:pt idx="102">
                  <c:v>1.9312770184098847E-2</c:v>
                </c:pt>
                <c:pt idx="103">
                  <c:v>1.8269097826468562E-2</c:v>
                </c:pt>
                <c:pt idx="104">
                  <c:v>1.7205188393549176E-2</c:v>
                </c:pt>
                <c:pt idx="105">
                  <c:v>1.613138163460956E-2</c:v>
                </c:pt>
                <c:pt idx="106">
                  <c:v>1.505752183114163E-2</c:v>
                </c:pt>
                <c:pt idx="107">
                  <c:v>1.3992819741648285E-2</c:v>
                </c:pt>
                <c:pt idx="108">
                  <c:v>1.2945736998880863E-2</c:v>
                </c:pt>
                <c:pt idx="109">
                  <c:v>1.192389443296937E-2</c:v>
                </c:pt>
                <c:pt idx="110">
                  <c:v>1.0934004978399576E-2</c:v>
                </c:pt>
                <c:pt idx="111">
                  <c:v>9.9818310423829913E-3</c:v>
                </c:pt>
                <c:pt idx="112">
                  <c:v>9.072165494151874E-3</c:v>
                </c:pt>
                <c:pt idx="113">
                  <c:v>8.208834801723304E-3</c:v>
                </c:pt>
                <c:pt idx="114">
                  <c:v>7.3947223119637025E-3</c:v>
                </c:pt>
                <c:pt idx="115">
                  <c:v>6.6318092528499118E-3</c:v>
                </c:pt>
                <c:pt idx="116">
                  <c:v>5.92123073937279E-3</c:v>
                </c:pt>
                <c:pt idx="117">
                  <c:v>5.2633438867262768E-3</c:v>
                </c:pt>
                <c:pt idx="118">
                  <c:v>4.6578050713943445E-3</c:v>
                </c:pt>
                <c:pt idx="119">
                  <c:v>4.1036534232898186E-3</c:v>
                </c:pt>
                <c:pt idx="120">
                  <c:v>3.5993977675458709E-3</c:v>
                </c:pt>
                <c:pt idx="121">
                  <c:v>3.1431044477247712E-3</c:v>
                </c:pt>
                <c:pt idx="122">
                  <c:v>2.732483736348146E-3</c:v>
                </c:pt>
                <c:pt idx="123">
                  <c:v>2.3649728564154281E-3</c:v>
                </c:pt>
                <c:pt idx="124">
                  <c:v>2.0378139818590327E-3</c:v>
                </c:pt>
                <c:pt idx="125">
                  <c:v>1.7481259395806324E-3</c:v>
                </c:pt>
                <c:pt idx="126">
                  <c:v>1.49296868632286E-3</c:v>
                </c:pt>
                <c:pt idx="127">
                  <c:v>1.2693999677100174E-3</c:v>
                </c:pt>
                <c:pt idx="128">
                  <c:v>1.0745238742432661E-3</c:v>
                </c:pt>
                <c:pt idx="129">
                  <c:v>9.0553128224570749E-4</c:v>
                </c:pt>
                <c:pt idx="130">
                  <c:v>7.597324015864961E-4</c:v>
                </c:pt>
                <c:pt idx="131">
                  <c:v>6.3458184368914595E-4</c:v>
                </c:pt>
                <c:pt idx="132">
                  <c:v>5.2769677219866452E-4</c:v>
                </c:pt>
                <c:pt idx="133">
                  <c:v>4.3686880593423475E-4</c:v>
                </c:pt>
                <c:pt idx="134">
                  <c:v>3.6007041207962535E-4</c:v>
                </c:pt>
                <c:pt idx="135">
                  <c:v>2.9545656079586714E-4</c:v>
                </c:pt>
                <c:pt idx="136">
                  <c:v>2.4136241520128577E-4</c:v>
                </c:pt>
                <c:pt idx="137">
                  <c:v>1.9629780802555731E-4</c:v>
                </c:pt>
                <c:pt idx="138">
                  <c:v>1.5893921343098936E-4</c:v>
                </c:pt>
                <c:pt idx="139">
                  <c:v>1.2811986462346725E-4</c:v>
                </c:pt>
                <c:pt idx="140">
                  <c:v>1.0281859975274034E-4</c:v>
                </c:pt>
                <c:pt idx="141">
                  <c:v>8.2147944564867997E-5</c:v>
                </c:pt>
                <c:pt idx="142">
                  <c:v>6.5341864085024788E-5</c:v>
                </c:pt>
                <c:pt idx="143">
                  <c:v>5.1743540413927261E-5</c:v>
                </c:pt>
                <c:pt idx="144">
                  <c:v>4.0793462007584798E-5</c:v>
                </c:pt>
                <c:pt idx="145">
                  <c:v>3.2018043441388044E-5</c:v>
                </c:pt>
                <c:pt idx="146">
                  <c:v>2.5018934914508668E-5</c:v>
                </c:pt>
                <c:pt idx="147">
                  <c:v>1.9463128386097353E-5</c:v>
                </c:pt>
                <c:pt idx="148">
                  <c:v>1.5073922560245645E-5</c:v>
                </c:pt>
                <c:pt idx="149">
                  <c:v>1.1622771894357563E-5</c:v>
                </c:pt>
                <c:pt idx="150">
                  <c:v>8.9220150509923572E-6</c:v>
                </c:pt>
                <c:pt idx="151">
                  <c:v>6.8184551920523163E-6</c:v>
                </c:pt>
                <c:pt idx="152">
                  <c:v>5.1877475320245033E-6</c:v>
                </c:pt>
                <c:pt idx="153">
                  <c:v>3.92953785043599E-6</c:v>
                </c:pt>
                <c:pt idx="154">
                  <c:v>2.9632884112517205E-6</c:v>
                </c:pt>
                <c:pt idx="155">
                  <c:v>2.2247241597092284E-6</c:v>
                </c:pt>
                <c:pt idx="156">
                  <c:v>1.6628314193369024E-6</c:v>
                </c:pt>
                <c:pt idx="157">
                  <c:v>1.2373429126145209E-6</c:v>
                </c:pt>
                <c:pt idx="158">
                  <c:v>9.1664617489622463E-7</c:v>
                </c:pt>
                <c:pt idx="159">
                  <c:v>6.7605680436578396E-7</c:v>
                </c:pt>
                <c:pt idx="160">
                  <c:v>4.9640305804199928E-7</c:v>
                </c:pt>
                <c:pt idx="161">
                  <c:v>3.6287371472533919E-7</c:v>
                </c:pt>
                <c:pt idx="162">
                  <c:v>2.6408660606880502E-7</c:v>
                </c:pt>
                <c:pt idx="163">
                  <c:v>1.9134056065903E-7</c:v>
                </c:pt>
                <c:pt idx="164">
                  <c:v>1.3801856619470783E-7</c:v>
                </c:pt>
                <c:pt idx="165">
                  <c:v>9.9114634315619862E-8</c:v>
                </c:pt>
                <c:pt idx="166">
                  <c:v>7.0861094628696148E-8</c:v>
                </c:pt>
                <c:pt idx="167">
                  <c:v>5.0436824195178719E-8</c:v>
                </c:pt>
                <c:pt idx="168">
                  <c:v>3.5740235631317432E-8</c:v>
                </c:pt>
                <c:pt idx="169">
                  <c:v>2.5213718057154917E-8</c:v>
                </c:pt>
                <c:pt idx="170">
                  <c:v>1.7708679390146086E-8</c:v>
                </c:pt>
                <c:pt idx="171">
                  <c:v>1.2382412297035264E-8</c:v>
                </c:pt>
                <c:pt idx="172">
                  <c:v>8.6197396432254563E-9</c:v>
                </c:pt>
                <c:pt idx="173">
                  <c:v>5.9738297073246592E-9</c:v>
                </c:pt>
                <c:pt idx="174">
                  <c:v>4.1217470001105717E-9</c:v>
                </c:pt>
                <c:pt idx="175">
                  <c:v>2.8312591643032578E-9</c:v>
                </c:pt>
                <c:pt idx="176">
                  <c:v>1.936188881945825E-9</c:v>
                </c:pt>
                <c:pt idx="177">
                  <c:v>1.3182130937496449E-9</c:v>
                </c:pt>
                <c:pt idx="178">
                  <c:v>8.9349746079570869E-10</c:v>
                </c:pt>
                <c:pt idx="179">
                  <c:v>6.0293545994552936E-10</c:v>
                </c:pt>
                <c:pt idx="180">
                  <c:v>4.0505885665488572E-10</c:v>
                </c:pt>
              </c:numCache>
            </c:numRef>
          </c:yVal>
          <c:smooth val="1"/>
          <c:extLst>
            <c:ext xmlns:c16="http://schemas.microsoft.com/office/drawing/2014/chart" uri="{C3380CC4-5D6E-409C-BE32-E72D297353CC}">
              <c16:uniqueId val="{00000000-F63F-4B76-BD84-6E57F2F44752}"/>
            </c:ext>
          </c:extLst>
        </c:ser>
        <c:dLbls>
          <c:showLegendKey val="0"/>
          <c:showVal val="0"/>
          <c:showCatName val="0"/>
          <c:showSerName val="0"/>
          <c:showPercent val="0"/>
          <c:showBubbleSize val="0"/>
        </c:dLbls>
        <c:axId val="200877760"/>
        <c:axId val="200878336"/>
      </c:scatterChart>
      <c:valAx>
        <c:axId val="200877760"/>
        <c:scaling>
          <c:orientation val="minMax"/>
        </c:scaling>
        <c:delete val="0"/>
        <c:axPos val="b"/>
        <c:numFmt formatCode="General" sourceLinked="1"/>
        <c:majorTickMark val="out"/>
        <c:minorTickMark val="none"/>
        <c:tickLblPos val="nextTo"/>
        <c:crossAx val="200878336"/>
        <c:crosses val="autoZero"/>
        <c:crossBetween val="midCat"/>
      </c:valAx>
      <c:valAx>
        <c:axId val="200878336"/>
        <c:scaling>
          <c:orientation val="minMax"/>
        </c:scaling>
        <c:delete val="1"/>
        <c:axPos val="l"/>
        <c:numFmt formatCode="General" sourceLinked="1"/>
        <c:majorTickMark val="out"/>
        <c:minorTickMark val="none"/>
        <c:tickLblPos val="none"/>
        <c:crossAx val="200877760"/>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List" dx="16" fmlaLink="$L$1" fmlaRange="$L$3:$L$11" noThreeD="1" sel="4" val="0"/>
</file>

<file path=xl/ctrlProps/ctrlProp2.xml><?xml version="1.0" encoding="utf-8"?>
<formControlPr xmlns="http://schemas.microsoft.com/office/spreadsheetml/2009/9/main" objectType="List" dx="16" fmlaLink="$L$2" fmlaRange="$O$3:$O$11" noThreeD="1" sel="7" val="0"/>
</file>

<file path=xl/ctrlProps/ctrlProp3.xml><?xml version="1.0" encoding="utf-8"?>
<formControlPr xmlns="http://schemas.microsoft.com/office/spreadsheetml/2009/9/main" objectType="CheckBox" checked="Checked" fmlaLink="$L$17" lockText="1" noThreeD="1"/>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gif"/></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600075</xdr:colOff>
      <xdr:row>1</xdr:row>
      <xdr:rowOff>85725</xdr:rowOff>
    </xdr:from>
    <xdr:to>
      <xdr:col>3</xdr:col>
      <xdr:colOff>2867025</xdr:colOff>
      <xdr:row>17</xdr:row>
      <xdr:rowOff>123825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00075" y="352425"/>
          <a:ext cx="6410325" cy="308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a:solidFill>
                <a:schemeClr val="dk1"/>
              </a:solidFill>
              <a:effectLst/>
              <a:latin typeface="+mn-lt"/>
              <a:ea typeface="+mn-ea"/>
              <a:cs typeface="+mn-cs"/>
            </a:rPr>
            <a:t>This spreadsheet is a working document intended to help with statistical analysis of neuropsychological assessment tests and measures</a:t>
          </a:r>
          <a:r>
            <a:rPr lang="en-GB"/>
            <a:t> </a:t>
          </a:r>
          <a:br>
            <a:rPr lang="en-GB"/>
          </a:br>
          <a:br>
            <a:rPr lang="en-GB"/>
          </a:br>
          <a:r>
            <a:rPr lang="en-GB" sz="1100" b="1" i="0" u="none" strike="noStrike">
              <a:solidFill>
                <a:schemeClr val="dk1"/>
              </a:solidFill>
              <a:effectLst/>
              <a:latin typeface="+mn-lt"/>
              <a:ea typeface="+mn-ea"/>
              <a:cs typeface="+mn-cs"/>
            </a:rPr>
            <a:t>It has been created for the most part by Dr Tom Michael, Clinical Psychologist</a:t>
          </a:r>
        </a:p>
        <a:p>
          <a:endParaRPr lang="en-GB" sz="1100" b="1" i="0" u="none" strike="noStrike">
            <a:solidFill>
              <a:schemeClr val="dk1"/>
            </a:solidFill>
            <a:effectLst/>
            <a:latin typeface="+mn-lt"/>
            <a:ea typeface="+mn-ea"/>
            <a:cs typeface="+mn-cs"/>
          </a:endParaRPr>
        </a:p>
        <a:p>
          <a:r>
            <a:rPr lang="en-GB" sz="1100" b="0" i="0" u="sng" strike="noStrike">
              <a:solidFill>
                <a:schemeClr val="dk1"/>
              </a:solidFill>
              <a:effectLst/>
              <a:latin typeface="+mn-lt"/>
              <a:ea typeface="+mn-ea"/>
              <a:cs typeface="+mn-cs"/>
              <a:hlinkClick xmlns:r="http://schemas.openxmlformats.org/officeDocument/2006/relationships" r:id=""/>
            </a:rPr>
            <a:t>Tom.Michael@nhs.net</a:t>
          </a:r>
          <a:r>
            <a:rPr lang="en-GB"/>
            <a:t> </a:t>
          </a:r>
        </a:p>
        <a:p>
          <a:r>
            <a:rPr lang="en-GB" sz="1100" b="0" i="0" u="sng" strike="noStrike">
              <a:solidFill>
                <a:schemeClr val="dk1"/>
              </a:solidFill>
              <a:effectLst/>
              <a:latin typeface="+mn-lt"/>
              <a:ea typeface="+mn-ea"/>
              <a:cs typeface="+mn-cs"/>
              <a:hlinkClick xmlns:r="http://schemas.openxmlformats.org/officeDocument/2006/relationships" r:id=""/>
            </a:rPr>
            <a:t>mostlyzen@gmail.com</a:t>
          </a:r>
          <a:r>
            <a:rPr lang="en-GB"/>
            <a:t> 			</a:t>
          </a:r>
          <a:endParaRPr lang="en-GB" sz="1100" b="1" i="0" u="none" strike="noStrike" baseline="0">
            <a:solidFill>
              <a:schemeClr val="dk1"/>
            </a:solidFill>
            <a:effectLst/>
            <a:latin typeface="+mn-lt"/>
            <a:ea typeface="+mn-ea"/>
            <a:cs typeface="+mn-cs"/>
          </a:endParaRPr>
        </a:p>
        <a:p>
          <a:endParaRPr lang="en-GB" sz="1100" b="1" i="0" u="none" strike="noStrike">
            <a:solidFill>
              <a:schemeClr val="dk1"/>
            </a:solidFill>
            <a:effectLst/>
            <a:latin typeface="+mn-lt"/>
            <a:ea typeface="+mn-ea"/>
            <a:cs typeface="+mn-cs"/>
          </a:endParaRPr>
        </a:p>
        <a:p>
          <a:r>
            <a:rPr lang="en-GB" sz="1100" b="1" i="0" u="none" strike="noStrike">
              <a:solidFill>
                <a:schemeClr val="dk1"/>
              </a:solidFill>
              <a:effectLst/>
              <a:latin typeface="+mn-lt"/>
              <a:ea typeface="+mn-ea"/>
              <a:cs typeface="+mn-cs"/>
            </a:rPr>
            <a:t>Whilst I do not believe there to be any errors in the formulae in this spreadsheet, I do not assume any liablity for the use of this spreadsheet by third parties - always check your test manual!</a:t>
          </a:r>
          <a:r>
            <a:rPr lang="en-GB"/>
            <a:t> </a:t>
          </a:r>
        </a:p>
        <a:p>
          <a:endParaRPr lang="en-GB" sz="1100" b="1"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GB" sz="1100" b="1" i="0">
              <a:solidFill>
                <a:schemeClr val="dk1"/>
              </a:solidFill>
              <a:effectLst/>
              <a:latin typeface="+mn-lt"/>
              <a:ea typeface="+mn-ea"/>
              <a:cs typeface="+mn-cs"/>
            </a:rPr>
            <a:t>You should only use this spreadsheet if you are a qualified Clinical Psychologist or Clinical Neuropsychologist.  You are not qualified to interpret these data otherwise</a:t>
          </a:r>
          <a:r>
            <a:rPr lang="en-GB" sz="1100">
              <a:solidFill>
                <a:schemeClr val="dk1"/>
              </a:solidFill>
              <a:effectLst/>
              <a:latin typeface="+mn-lt"/>
              <a:ea typeface="+mn-ea"/>
              <a:cs typeface="+mn-cs"/>
            </a:rPr>
            <a:t> </a:t>
          </a:r>
          <a:endParaRPr lang="en-GB">
            <a:effectLst/>
          </a:endParaRPr>
        </a:p>
        <a:p>
          <a:endParaRPr lang="en-GB" sz="1100" b="1" i="0" u="none" strike="noStrike">
            <a:solidFill>
              <a:schemeClr val="dk1"/>
            </a:solidFill>
            <a:effectLst/>
            <a:latin typeface="+mn-lt"/>
            <a:ea typeface="+mn-ea"/>
            <a:cs typeface="+mn-cs"/>
          </a:endParaRPr>
        </a:p>
        <a:p>
          <a:r>
            <a:rPr lang="en-GB" sz="1100" b="1" i="0" u="none" strike="noStrike">
              <a:solidFill>
                <a:schemeClr val="dk1"/>
              </a:solidFill>
              <a:effectLst/>
              <a:latin typeface="+mn-lt"/>
              <a:ea typeface="+mn-ea"/>
              <a:cs typeface="+mn-cs"/>
            </a:rPr>
            <a:t>If you are working as an Assistant Psychologist or other discipline (e.g. Occupational Therapist) you need to be supervised by a qualified Clinical Psychologist or Clinical Neuropsychologist</a:t>
          </a:r>
          <a:r>
            <a:rPr lang="en-GB"/>
            <a:t> </a:t>
          </a: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504825</xdr:colOff>
      <xdr:row>2</xdr:row>
      <xdr:rowOff>9525</xdr:rowOff>
    </xdr:from>
    <xdr:to>
      <xdr:col>11</xdr:col>
      <xdr:colOff>140335</xdr:colOff>
      <xdr:row>17</xdr:row>
      <xdr:rowOff>140335</xdr:rowOff>
    </xdr:to>
    <xdr:pic>
      <xdr:nvPicPr>
        <xdr:cNvPr id="2" name="Picture 1" descr="I:\Resources\Psychometrics\IQ Bell Curve.pn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4425" y="466725"/>
          <a:ext cx="5731510" cy="2988310"/>
        </a:xfrm>
        <a:prstGeom prst="rect">
          <a:avLst/>
        </a:prstGeom>
        <a:noFill/>
        <a:ln>
          <a:noFill/>
        </a:ln>
      </xdr:spPr>
    </xdr:pic>
    <xdr:clientData/>
  </xdr:twoCellAnchor>
  <xdr:twoCellAnchor editAs="oneCell">
    <xdr:from>
      <xdr:col>0</xdr:col>
      <xdr:colOff>47622</xdr:colOff>
      <xdr:row>19</xdr:row>
      <xdr:rowOff>9525</xdr:rowOff>
    </xdr:from>
    <xdr:to>
      <xdr:col>13</xdr:col>
      <xdr:colOff>57149</xdr:colOff>
      <xdr:row>33</xdr:row>
      <xdr:rowOff>104140</xdr:rowOff>
    </xdr:to>
    <xdr:pic>
      <xdr:nvPicPr>
        <xdr:cNvPr id="3" name="Picture 2" descr="I:\Resources\Psychometrics\Normal Distribution &amp; Statistics.gif">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2" y="3705225"/>
          <a:ext cx="7934327" cy="276161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266700</xdr:colOff>
      <xdr:row>15</xdr:row>
      <xdr:rowOff>0</xdr:rowOff>
    </xdr:from>
    <xdr:to>
      <xdr:col>6</xdr:col>
      <xdr:colOff>523875</xdr:colOff>
      <xdr:row>29</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9525</xdr:colOff>
          <xdr:row>4</xdr:row>
          <xdr:rowOff>38100</xdr:rowOff>
        </xdr:from>
        <xdr:to>
          <xdr:col>1</xdr:col>
          <xdr:colOff>1381125</xdr:colOff>
          <xdr:row>10</xdr:row>
          <xdr:rowOff>66675</xdr:rowOff>
        </xdr:to>
        <xdr:sp macro="" textlink="">
          <xdr:nvSpPr>
            <xdr:cNvPr id="12289" name="List Box 1" hidden="1">
              <a:extLst>
                <a:ext uri="{63B3BB69-23CF-44E3-9099-C40C66FF867C}">
                  <a14:compatExt spid="_x0000_s12289"/>
                </a:ext>
                <a:ext uri="{FF2B5EF4-FFF2-40B4-BE49-F238E27FC236}">
                  <a16:creationId xmlns:a16="http://schemas.microsoft.com/office/drawing/2014/main" id="{00000000-0008-0000-04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xdr:row>
          <xdr:rowOff>47625</xdr:rowOff>
        </xdr:from>
        <xdr:to>
          <xdr:col>3</xdr:col>
          <xdr:colOff>1381125</xdr:colOff>
          <xdr:row>10</xdr:row>
          <xdr:rowOff>76200</xdr:rowOff>
        </xdr:to>
        <xdr:sp macro="" textlink="">
          <xdr:nvSpPr>
            <xdr:cNvPr id="12290" name="List Box 2" hidden="1">
              <a:extLst>
                <a:ext uri="{63B3BB69-23CF-44E3-9099-C40C66FF867C}">
                  <a14:compatExt spid="_x0000_s12290"/>
                </a:ext>
                <a:ext uri="{FF2B5EF4-FFF2-40B4-BE49-F238E27FC236}">
                  <a16:creationId xmlns:a16="http://schemas.microsoft.com/office/drawing/2014/main" id="{00000000-0008-0000-0400-000002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123825</xdr:colOff>
          <xdr:row>3</xdr:row>
          <xdr:rowOff>0</xdr:rowOff>
        </xdr:from>
        <xdr:to>
          <xdr:col>7</xdr:col>
          <xdr:colOff>47625</xdr:colOff>
          <xdr:row>3</xdr:row>
          <xdr:rowOff>238125</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400-0000033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Round to Nearest Integer</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1</xdr:col>
      <xdr:colOff>9525</xdr:colOff>
      <xdr:row>2</xdr:row>
      <xdr:rowOff>0</xdr:rowOff>
    </xdr:from>
    <xdr:to>
      <xdr:col>9</xdr:col>
      <xdr:colOff>390525</xdr:colOff>
      <xdr:row>15</xdr:row>
      <xdr:rowOff>171450</xdr:rowOff>
    </xdr:to>
    <xdr:pic>
      <xdr:nvPicPr>
        <xdr:cNvPr id="2" name="Picture 1" descr="\\sr1-netapp01\home$\Tom.Michael\Desktop\Brain Injury Severity.gif">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 y="447675"/>
          <a:ext cx="5715000" cy="2647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9525</xdr:colOff>
      <xdr:row>2</xdr:row>
      <xdr:rowOff>0</xdr:rowOff>
    </xdr:from>
    <xdr:to>
      <xdr:col>23</xdr:col>
      <xdr:colOff>314325</xdr:colOff>
      <xdr:row>28</xdr:row>
      <xdr:rowOff>123825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15125" y="447675"/>
          <a:ext cx="7620000" cy="507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57151</xdr:colOff>
      <xdr:row>29</xdr:row>
      <xdr:rowOff>19049</xdr:rowOff>
    </xdr:from>
    <xdr:to>
      <xdr:col>4</xdr:col>
      <xdr:colOff>895351</xdr:colOff>
      <xdr:row>51</xdr:row>
      <xdr:rowOff>152400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1390651" y="5991224"/>
          <a:ext cx="6800850" cy="4324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Text from Novopsych.com.au</a:t>
          </a:r>
          <a:r>
            <a:rPr lang="en-GB" sz="1100" b="1" baseline="0"/>
            <a:t> Website:</a:t>
          </a:r>
        </a:p>
        <a:p>
          <a:endParaRPr lang="en-GB" sz="1100" b="1" baseline="0"/>
        </a:p>
        <a:p>
          <a:r>
            <a:rPr lang="en-GB" sz="1100" b="1" i="0">
              <a:solidFill>
                <a:schemeClr val="dk1"/>
              </a:solidFill>
              <a:effectLst/>
              <a:latin typeface="+mn-lt"/>
              <a:ea typeface="+mn-ea"/>
              <a:cs typeface="+mn-cs"/>
            </a:rPr>
            <a:t>Interpretation and Scoring</a:t>
          </a:r>
        </a:p>
        <a:p>
          <a:endParaRPr lang="en-GB" sz="1100" b="1" i="0">
            <a:solidFill>
              <a:schemeClr val="dk1"/>
            </a:solidFill>
            <a:effectLst/>
            <a:latin typeface="+mn-lt"/>
            <a:ea typeface="+mn-ea"/>
            <a:cs typeface="+mn-cs"/>
          </a:endParaRPr>
        </a:p>
        <a:p>
          <a:r>
            <a:rPr lang="en-GB" sz="1100" b="0" i="0">
              <a:solidFill>
                <a:schemeClr val="dk1"/>
              </a:solidFill>
              <a:effectLst/>
              <a:latin typeface="+mn-lt"/>
              <a:ea typeface="+mn-ea"/>
              <a:cs typeface="+mn-cs"/>
            </a:rPr>
            <a:t>Items are summed to obtain an overall total score and scores for each of the five subscales. Higher scores indicate responses that are more consistent with autism traits.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A total score of 29 or more is indicative of clinically significant autism traits (Broadbent, et al., 2013). Using the cut-off score of 29 has a false positive rate of 1%, however will fail to identify 14.4% of people who actually do meet the diagnostic criteria for DSM-5 defined Autism Spectrum Disorder.</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Five subscales are presented, with higher scores on each subscale indicate more neurodivergence in each area. For example, high scores on social skills indicates more social skills deficits, and high scores on attention to detail indicates an atypical focus on details. The following items are summed to obtain scores for each of the subscales: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Social skill: items 1,11,13,15,22,36,44,45, 47,48</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Attention switching: items 2,4,10,16,25,32,34, 37,43,46</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Attention to detail: items 5,6,9,12,19,23,28, 29,30,49</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Communication: items 7,17,18,26,27,31,33, 35,38,39</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Imagination items: 3,8,14,20,21,24,40,41,42,50</a:t>
          </a:r>
        </a:p>
        <a:p>
          <a:endParaRPr lang="en-GB" sz="1100" baseline="0"/>
        </a:p>
        <a:p>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28575</xdr:colOff>
      <xdr:row>17</xdr:row>
      <xdr:rowOff>95249</xdr:rowOff>
    </xdr:from>
    <xdr:to>
      <xdr:col>6</xdr:col>
      <xdr:colOff>381000</xdr:colOff>
      <xdr:row>52</xdr:row>
      <xdr:rowOff>123824</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362075" y="3590924"/>
          <a:ext cx="5876925" cy="6696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Text</a:t>
          </a:r>
          <a:r>
            <a:rPr lang="en-GB" sz="1100" b="1" baseline="0"/>
            <a:t> from Novopsych.com.au website:</a:t>
          </a:r>
        </a:p>
        <a:p>
          <a:endParaRPr lang="en-GB" sz="1100" baseline="0"/>
        </a:p>
        <a:p>
          <a:r>
            <a:rPr lang="en-GB" sz="1100" b="0" i="0">
              <a:solidFill>
                <a:schemeClr val="dk1"/>
              </a:solidFill>
              <a:effectLst/>
              <a:latin typeface="+mn-lt"/>
              <a:ea typeface="+mn-ea"/>
              <a:cs typeface="+mn-cs"/>
            </a:rPr>
            <a:t>–</a:t>
          </a:r>
          <a:r>
            <a:rPr lang="en-GB" sz="1100" b="1" i="0">
              <a:solidFill>
                <a:schemeClr val="dk1"/>
              </a:solidFill>
              <a:effectLst/>
              <a:latin typeface="+mn-lt"/>
              <a:ea typeface="+mn-ea"/>
              <a:cs typeface="+mn-cs"/>
            </a:rPr>
            <a:t>Part A</a:t>
          </a:r>
          <a:r>
            <a:rPr lang="en-GB" sz="1100" b="0" i="0">
              <a:solidFill>
                <a:schemeClr val="dk1"/>
              </a:solidFill>
              <a:effectLst/>
              <a:latin typeface="+mn-lt"/>
              <a:ea typeface="+mn-ea"/>
              <a:cs typeface="+mn-cs"/>
            </a:rPr>
            <a:t> (items 1-6. Scores range from 0 to 6)</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If the respondent scores 4 or more in Part-A, then the symptom profile of the individual is considered to be highly consistent with an ADHD diagnosis in adults (Adler et al., 2006; Kessler et al., 2007).</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a:t>
          </a:r>
          <a:r>
            <a:rPr lang="en-GB" sz="1100" b="1" i="0">
              <a:solidFill>
                <a:schemeClr val="dk1"/>
              </a:solidFill>
              <a:effectLst/>
              <a:latin typeface="+mn-lt"/>
              <a:ea typeface="+mn-ea"/>
              <a:cs typeface="+mn-cs"/>
            </a:rPr>
            <a:t>Part B</a:t>
          </a:r>
          <a:r>
            <a:rPr lang="en-GB" sz="1100" b="0" i="0">
              <a:solidFill>
                <a:schemeClr val="dk1"/>
              </a:solidFill>
              <a:effectLst/>
              <a:latin typeface="+mn-lt"/>
              <a:ea typeface="+mn-ea"/>
              <a:cs typeface="+mn-cs"/>
            </a:rPr>
            <a:t> (items 7-18. Scores range from 0 to 12)</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The frequency scores on Part B provide additional cues and can serve as further probes into the patient’s symptom severity and the impact that inattention or hyperactivity has on their life.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 </a:t>
          </a:r>
          <a:r>
            <a:rPr lang="en-GB" sz="1100" b="1" i="0">
              <a:solidFill>
                <a:schemeClr val="dk1"/>
              </a:solidFill>
              <a:effectLst/>
              <a:latin typeface="+mn-lt"/>
              <a:ea typeface="+mn-ea"/>
              <a:cs typeface="+mn-cs"/>
            </a:rPr>
            <a:t>Total Score (and percentile)</a:t>
          </a:r>
          <a:r>
            <a:rPr lang="en-GB" sz="1100" b="0" i="0">
              <a:solidFill>
                <a:schemeClr val="dk1"/>
              </a:solidFill>
              <a:effectLst/>
              <a:latin typeface="+mn-lt"/>
              <a:ea typeface="+mn-ea"/>
              <a:cs typeface="+mn-cs"/>
            </a:rPr>
            <a:t> (scores range from 0 to 18)</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Over and above the key interpretation metrics from Part A and Part B, the total score (sum of part A and B) is converted into a percentile to contextualise responses in comparison to normative data (22,397 adults; Adler et al., 2018). For example, a percentile of 90 represents that the respondent scored higher than 90 percent of other typical adults in their age range in the community.</a:t>
          </a:r>
        </a:p>
        <a:p>
          <a:endParaRPr lang="en-GB" sz="1100"/>
        </a:p>
        <a:p>
          <a:r>
            <a:rPr lang="en-GB" sz="1100" b="1" i="0">
              <a:solidFill>
                <a:schemeClr val="dk1"/>
              </a:solidFill>
              <a:effectLst/>
              <a:latin typeface="+mn-lt"/>
              <a:ea typeface="+mn-ea"/>
              <a:cs typeface="+mn-cs"/>
            </a:rPr>
            <a:t>References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Adler, L. A., Faraone, S. V., Sarocco, P., Atkins, N., &amp; Khachatryan, A. (2019). Establishing US norms for the Adult ADHD Self-Report Scale (ASRS-v1.1) and characterising symptom burden among adults with self-reported ADHD. International Journal of Clinical Practice, 73(1), e13260. </a:t>
          </a:r>
          <a:r>
            <a:rPr lang="en-GB" sz="1100" b="0" i="0" u="none" strike="noStrike">
              <a:solidFill>
                <a:schemeClr val="dk1"/>
              </a:solidFill>
              <a:effectLst/>
              <a:latin typeface="+mn-lt"/>
              <a:ea typeface="+mn-ea"/>
              <a:cs typeface="+mn-cs"/>
              <a:hlinkClick xmlns:r="http://schemas.openxmlformats.org/officeDocument/2006/relationships" r:id=""/>
            </a:rPr>
            <a:t>https://doi.org/10.1111/ijcp.13260</a:t>
          </a:r>
          <a:endParaRPr lang="en-GB" sz="1100" b="0" i="0" u="none" strike="noStrike">
            <a:solidFill>
              <a:schemeClr val="dk1"/>
            </a:solidFill>
            <a:effectLst/>
            <a:latin typeface="+mn-lt"/>
            <a:ea typeface="+mn-ea"/>
            <a:cs typeface="+mn-cs"/>
          </a:endParaRP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Adler, L. A., Spencer, T., Faraone, S. V., Kessler, R. C., Howes, M. J., Biederman, J., &amp; Secnik, K. (2006). Validity of pilot Adult ADHD Self- Report Scale (ASRS) to Rate Adult ADHD symptoms. Annals of Clinical Psychiatry: Official Journal of the American Academy of Clinical Psychiatrists, 18(3), 145–148. </a:t>
          </a:r>
          <a:r>
            <a:rPr lang="en-GB" sz="1100" b="0" i="0" u="none" strike="noStrike">
              <a:solidFill>
                <a:schemeClr val="dk1"/>
              </a:solidFill>
              <a:effectLst/>
              <a:latin typeface="+mn-lt"/>
              <a:ea typeface="+mn-ea"/>
              <a:cs typeface="+mn-cs"/>
              <a:hlinkClick xmlns:r="http://schemas.openxmlformats.org/officeDocument/2006/relationships" r:id=""/>
            </a:rPr>
            <a:t>https://doi.org/10.1080/10401230600801077</a:t>
          </a:r>
          <a:endParaRPr lang="en-GB" sz="1100" b="0" i="0" u="none" strike="noStrike">
            <a:solidFill>
              <a:schemeClr val="dk1"/>
            </a:solidFill>
            <a:effectLst/>
            <a:latin typeface="+mn-lt"/>
            <a:ea typeface="+mn-ea"/>
            <a:cs typeface="+mn-cs"/>
          </a:endParaRP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Hines, J. L., King, T. S., &amp; Curry, W. J. (2012). The adult ADHD self-report scale for screening for adult attention deficit-hyperactivity disorder (ADHD). Journal of the American Board of Family Medicine: JABFM, 25(6), 847–853. </a:t>
          </a:r>
          <a:r>
            <a:rPr lang="en-GB" sz="1100" b="0" i="0" u="none" strike="noStrike">
              <a:solidFill>
                <a:schemeClr val="dk1"/>
              </a:solidFill>
              <a:effectLst/>
              <a:latin typeface="+mn-lt"/>
              <a:ea typeface="+mn-ea"/>
              <a:cs typeface="+mn-cs"/>
              <a:hlinkClick xmlns:r="http://schemas.openxmlformats.org/officeDocument/2006/relationships" r:id=""/>
            </a:rPr>
            <a:t>https://doi.org/10.3122/jabfm.2012.06.120065</a:t>
          </a:r>
          <a:endParaRPr lang="en-GB" sz="1100" b="0" i="0" u="none" strike="noStrike">
            <a:solidFill>
              <a:schemeClr val="dk1"/>
            </a:solidFill>
            <a:effectLst/>
            <a:latin typeface="+mn-lt"/>
            <a:ea typeface="+mn-ea"/>
            <a:cs typeface="+mn-cs"/>
          </a:endParaRP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Stanton, K., Forbes, M. K., &amp; Zimmerman, M. (2018). Distinct dimensions defining the Adult ADHD Self-Report Scale: Implications for assessing inattentive and hyperactive/impulsive symptoms. Psychological Assessment, 30(12), 1549–1559. </a:t>
          </a:r>
          <a:r>
            <a:rPr lang="en-GB" sz="1100" b="0" i="0" u="none" strike="noStrike">
              <a:solidFill>
                <a:schemeClr val="dk1"/>
              </a:solidFill>
              <a:effectLst/>
              <a:latin typeface="+mn-lt"/>
              <a:ea typeface="+mn-ea"/>
              <a:cs typeface="+mn-cs"/>
              <a:hlinkClick xmlns:r="http://schemas.openxmlformats.org/officeDocument/2006/relationships" r:id=""/>
            </a:rPr>
            <a:t>https://doi.org/10.1037/pas0000604 </a:t>
          </a:r>
          <a:endParaRPr lang="en-GB" sz="1100" b="0" i="0">
            <a:solidFill>
              <a:schemeClr val="dk1"/>
            </a:solidFill>
            <a:effectLst/>
            <a:latin typeface="+mn-lt"/>
            <a:ea typeface="+mn-ea"/>
            <a:cs typeface="+mn-cs"/>
          </a:endParaRPr>
        </a:p>
        <a:p>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7</xdr:col>
      <xdr:colOff>161088</xdr:colOff>
      <xdr:row>36</xdr:row>
      <xdr:rowOff>37459</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stretch>
          <a:fillRect/>
        </a:stretch>
      </xdr:blipFill>
      <xdr:spPr>
        <a:xfrm>
          <a:off x="476250" y="1952625"/>
          <a:ext cx="6695238" cy="512380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123825</xdr:colOff>
      <xdr:row>15</xdr:row>
      <xdr:rowOff>9525</xdr:rowOff>
    </xdr:from>
    <xdr:to>
      <xdr:col>12</xdr:col>
      <xdr:colOff>85725</xdr:colOff>
      <xdr:row>58</xdr:row>
      <xdr:rowOff>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1466850" y="3067050"/>
          <a:ext cx="5753100" cy="6372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RBANS Effort Scale (ES) - Use for people with suspected</a:t>
          </a:r>
          <a:r>
            <a:rPr lang="en-GB" sz="1100" b="1" baseline="0">
              <a:solidFill>
                <a:schemeClr val="dk1"/>
              </a:solidFill>
              <a:effectLst/>
              <a:latin typeface="+mn-lt"/>
              <a:ea typeface="+mn-ea"/>
              <a:cs typeface="+mn-cs"/>
            </a:rPr>
            <a:t> AD or MCI</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Inadequate effort and/or impairment on the RBANS should be suspected with Digit Span scores of &lt;9, Recognition scores of &lt;19, or combined Digit Span + Recognition scores of &lt;28.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Using the Total Scores for each subtest named below, use the following calculation to obtain the Effort Scale score: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RBANS ES = (List Recognition – (List Recall + Story Recall + Figure Recall)) + Digit Span </a:t>
          </a:r>
        </a:p>
        <a:p>
          <a:r>
            <a:rPr lang="en-GB" sz="1100">
              <a:solidFill>
                <a:schemeClr val="dk1"/>
              </a:solidFill>
              <a:effectLst/>
              <a:latin typeface="+mn-lt"/>
              <a:ea typeface="+mn-ea"/>
              <a:cs typeface="+mn-cs"/>
            </a:rPr>
            <a:t> </a:t>
          </a:r>
        </a:p>
        <a:p>
          <a:r>
            <a:rPr lang="en-GB" sz="1100" u="sng">
              <a:solidFill>
                <a:schemeClr val="dk1"/>
              </a:solidFill>
              <a:effectLst/>
              <a:latin typeface="+mn-lt"/>
              <a:ea typeface="+mn-ea"/>
              <a:cs typeface="+mn-cs"/>
            </a:rPr>
            <a:t>Scores of &lt;12 on the Effort Scale are thought to be reflective of inadequate effort. </a:t>
          </a:r>
          <a:endParaRPr lang="en-GB" sz="1100">
            <a:solidFill>
              <a:schemeClr val="dk1"/>
            </a:solidFill>
            <a:effectLst/>
            <a:latin typeface="+mn-lt"/>
            <a:ea typeface="+mn-ea"/>
            <a:cs typeface="+mn-cs"/>
          </a:endParaRPr>
        </a:p>
        <a:p>
          <a:r>
            <a:rPr lang="en-GB" sz="1100" u="none" strike="noStrike">
              <a:solidFill>
                <a:schemeClr val="dk1"/>
              </a:solidFill>
              <a:effectLst/>
              <a:latin typeface="+mn-lt"/>
              <a:ea typeface="+mn-ea"/>
              <a:cs typeface="+mn-cs"/>
            </a:rPr>
            <a:t> </a:t>
          </a:r>
          <a:endParaRPr lang="en-GB" sz="1100">
            <a:solidFill>
              <a:schemeClr val="dk1"/>
            </a:solidFill>
            <a:effectLst/>
            <a:latin typeface="+mn-lt"/>
            <a:ea typeface="+mn-ea"/>
            <a:cs typeface="+mn-cs"/>
          </a:endParaRPr>
        </a:p>
        <a:p>
          <a:pPr algn="just"/>
          <a:r>
            <a:rPr lang="en-GB" sz="1100">
              <a:solidFill>
                <a:schemeClr val="dk1"/>
              </a:solidFill>
              <a:effectLst/>
              <a:latin typeface="+mn-lt"/>
              <a:ea typeface="+mn-ea"/>
              <a:cs typeface="+mn-cs"/>
            </a:rPr>
            <a:t>Novitski and colleagues (2012) sought to address the high failure rates of the </a:t>
          </a:r>
          <a:r>
            <a:rPr lang="en-GB" sz="1100" i="1">
              <a:solidFill>
                <a:schemeClr val="dk1"/>
              </a:solidFill>
              <a:effectLst/>
              <a:latin typeface="+mn-lt"/>
              <a:ea typeface="+mn-ea"/>
              <a:cs typeface="+mn-cs"/>
            </a:rPr>
            <a:t>EI</a:t>
          </a:r>
          <a:r>
            <a:rPr lang="en-GB" sz="1100">
              <a:solidFill>
                <a:schemeClr val="dk1"/>
              </a:solidFill>
              <a:effectLst/>
              <a:latin typeface="+mn-lt"/>
              <a:ea typeface="+mn-ea"/>
              <a:cs typeface="+mn-cs"/>
            </a:rPr>
            <a:t> by developing an embedded measure of effort that differentiates between suboptimal effort and a genuine amnestic disorder such as that found in dementia due to Alzheimer disease (AD). Their embedded RBANS effort scale (</a:t>
          </a:r>
          <a:r>
            <a:rPr lang="en-GB" sz="1100" i="1">
              <a:solidFill>
                <a:schemeClr val="dk1"/>
              </a:solidFill>
              <a:effectLst/>
              <a:latin typeface="+mn-lt"/>
              <a:ea typeface="+mn-ea"/>
              <a:cs typeface="+mn-cs"/>
            </a:rPr>
            <a:t>ES</a:t>
          </a:r>
          <a:r>
            <a:rPr lang="en-GB" sz="1100">
              <a:solidFill>
                <a:schemeClr val="dk1"/>
              </a:solidFill>
              <a:effectLst/>
              <a:latin typeface="+mn-lt"/>
              <a:ea typeface="+mn-ea"/>
              <a:cs typeface="+mn-cs"/>
            </a:rPr>
            <a:t>) was developed based on the premise that when an individual has “true” amnesia his or her free recall performance on the List Recall, Story Recall, and Figure Recall subtests will decline to zero, or close to zero, before decline in List Recognition occurs (Novitski et al., 2012)</a:t>
          </a:r>
        </a:p>
        <a:p>
          <a:pPr algn="just"/>
          <a:endParaRPr lang="en-GB" sz="1100">
            <a:solidFill>
              <a:schemeClr val="dk1"/>
            </a:solidFill>
            <a:effectLst/>
            <a:latin typeface="+mn-lt"/>
            <a:ea typeface="+mn-ea"/>
            <a:cs typeface="+mn-cs"/>
          </a:endParaRPr>
        </a:p>
        <a:p>
          <a:pPr algn="just"/>
          <a:r>
            <a:rPr lang="en-GB" sz="1100">
              <a:solidFill>
                <a:schemeClr val="dk1"/>
              </a:solidFill>
              <a:effectLst/>
              <a:latin typeface="+mn-lt"/>
              <a:ea typeface="+mn-ea"/>
              <a:cs typeface="+mn-cs"/>
            </a:rPr>
            <a:t>Further, they expected working memory, as measured by the Digit Span subtest, to remain relatively stable. Following this logic, Novitski and colleagues (2012) developed the following formula: RBANS </a:t>
          </a:r>
          <a:r>
            <a:rPr lang="en-GB" sz="1100" i="1">
              <a:solidFill>
                <a:schemeClr val="dk1"/>
              </a:solidFill>
              <a:effectLst/>
              <a:latin typeface="+mn-lt"/>
              <a:ea typeface="+mn-ea"/>
              <a:cs typeface="+mn-cs"/>
            </a:rPr>
            <a:t>ES</a:t>
          </a:r>
          <a:r>
            <a:rPr lang="en-GB" sz="1100">
              <a:solidFill>
                <a:schemeClr val="dk1"/>
              </a:solidFill>
              <a:effectLst/>
              <a:latin typeface="+mn-lt"/>
              <a:ea typeface="+mn-ea"/>
              <a:cs typeface="+mn-cs"/>
            </a:rPr>
            <a:t> = [List Recognition – (List Recall + Story Recall + Figure Recall)]. Unlike the </a:t>
          </a:r>
          <a:r>
            <a:rPr lang="en-GB" sz="1100" i="1">
              <a:solidFill>
                <a:schemeClr val="dk1"/>
              </a:solidFill>
              <a:effectLst/>
              <a:latin typeface="+mn-lt"/>
              <a:ea typeface="+mn-ea"/>
              <a:cs typeface="+mn-cs"/>
            </a:rPr>
            <a:t>EI</a:t>
          </a:r>
          <a:r>
            <a:rPr lang="en-GB" sz="1100">
              <a:solidFill>
                <a:schemeClr val="dk1"/>
              </a:solidFill>
              <a:effectLst/>
              <a:latin typeface="+mn-lt"/>
              <a:ea typeface="+mn-ea"/>
              <a:cs typeface="+mn-cs"/>
            </a:rPr>
            <a:t>, which can be applied to any individual administered the RBANS, the </a:t>
          </a:r>
          <a:r>
            <a:rPr lang="en-GB" sz="1100" i="1">
              <a:solidFill>
                <a:schemeClr val="dk1"/>
              </a:solidFill>
              <a:effectLst/>
              <a:latin typeface="+mn-lt"/>
              <a:ea typeface="+mn-ea"/>
              <a:cs typeface="+mn-cs"/>
            </a:rPr>
            <a:t>ES</a:t>
          </a:r>
          <a:r>
            <a:rPr lang="en-GB" sz="1100">
              <a:solidFill>
                <a:schemeClr val="dk1"/>
              </a:solidFill>
              <a:effectLst/>
              <a:latin typeface="+mn-lt"/>
              <a:ea typeface="+mn-ea"/>
              <a:cs typeface="+mn-cs"/>
            </a:rPr>
            <a:t> is recommended for use only with individuals demonstrating impaired performance on the List Recognition and Digit Span subtests (Novitski et al., 2012).</a:t>
          </a:r>
        </a:p>
        <a:p>
          <a:pPr algn="just"/>
          <a:r>
            <a:rPr lang="en-GB" sz="1100">
              <a:solidFill>
                <a:schemeClr val="dk1"/>
              </a:solidFill>
              <a:effectLst/>
              <a:latin typeface="+mn-lt"/>
              <a:ea typeface="+mn-ea"/>
              <a:cs typeface="+mn-cs"/>
            </a:rPr>
            <a:t> </a:t>
          </a:r>
        </a:p>
        <a:p>
          <a:pPr algn="just"/>
          <a:r>
            <a:rPr lang="en-GB" sz="1100">
              <a:solidFill>
                <a:schemeClr val="dk1"/>
              </a:solidFill>
              <a:effectLst/>
              <a:latin typeface="+mn-lt"/>
              <a:ea typeface="+mn-ea"/>
              <a:cs typeface="+mn-cs"/>
            </a:rPr>
            <a:t>Using a cutoff score of 12 (scores &lt;12 were considered to suggest suboptimal effort), Novitski and colleagues (2012) found that, relative to the </a:t>
          </a:r>
          <a:r>
            <a:rPr lang="en-GB" sz="1100" i="1">
              <a:solidFill>
                <a:schemeClr val="dk1"/>
              </a:solidFill>
              <a:effectLst/>
              <a:latin typeface="+mn-lt"/>
              <a:ea typeface="+mn-ea"/>
              <a:cs typeface="+mn-cs"/>
            </a:rPr>
            <a:t>EI</a:t>
          </a:r>
          <a:r>
            <a:rPr lang="en-GB" sz="1100">
              <a:solidFill>
                <a:schemeClr val="dk1"/>
              </a:solidFill>
              <a:effectLst/>
              <a:latin typeface="+mn-lt"/>
              <a:ea typeface="+mn-ea"/>
              <a:cs typeface="+mn-cs"/>
            </a:rPr>
            <a:t>, the </a:t>
          </a:r>
          <a:r>
            <a:rPr lang="en-GB" sz="1100" i="1">
              <a:solidFill>
                <a:schemeClr val="dk1"/>
              </a:solidFill>
              <a:effectLst/>
              <a:latin typeface="+mn-lt"/>
              <a:ea typeface="+mn-ea"/>
              <a:cs typeface="+mn-cs"/>
            </a:rPr>
            <a:t>ES</a:t>
          </a:r>
          <a:r>
            <a:rPr lang="en-GB" sz="1100">
              <a:solidFill>
                <a:schemeClr val="dk1"/>
              </a:solidFill>
              <a:effectLst/>
              <a:latin typeface="+mn-lt"/>
              <a:ea typeface="+mn-ea"/>
              <a:cs typeface="+mn-cs"/>
            </a:rPr>
            <a:t> demonstrated greater sensitivity and specificity among amnestic participants diagnosed with either amnestic Mild Cognitive Impairment or probable AD. Schroeder, Peck, Buddin, Heinrichs, and Baade (2012) found that no participants in a moderate-to-severe mixed dementia sample failed the </a:t>
          </a:r>
          <a:r>
            <a:rPr lang="en-GB" sz="1100" i="1">
              <a:solidFill>
                <a:schemeClr val="dk1"/>
              </a:solidFill>
              <a:effectLst/>
              <a:latin typeface="+mn-lt"/>
              <a:ea typeface="+mn-ea"/>
              <a:cs typeface="+mn-cs"/>
            </a:rPr>
            <a:t>ES</a:t>
          </a:r>
          <a:r>
            <a:rPr lang="en-GB" sz="1100">
              <a:solidFill>
                <a:schemeClr val="dk1"/>
              </a:solidFill>
              <a:effectLst/>
              <a:latin typeface="+mn-lt"/>
              <a:ea typeface="+mn-ea"/>
              <a:cs typeface="+mn-cs"/>
            </a:rPr>
            <a:t> when using a cutoff of &lt;7. These authors claimed that this lower cutoff limits false positives while maintaining adequate sensitivity, and in the current study the cutoffs of &lt;12 and &lt;7 are both considered.</a:t>
          </a:r>
        </a:p>
        <a:p>
          <a:endParaRPr lang="en-GB" sz="1100"/>
        </a:p>
        <a:p>
          <a:r>
            <a:rPr lang="en-GB" sz="1100" b="1"/>
            <a:t>Text by Dr Laura</a:t>
          </a:r>
          <a:r>
            <a:rPr lang="en-GB" sz="1100" b="1" baseline="0"/>
            <a:t> Meader, Clinical Psychologist, October 2020</a:t>
          </a:r>
          <a:endParaRPr lang="en-GB"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123825</xdr:colOff>
      <xdr:row>15</xdr:row>
      <xdr:rowOff>9525</xdr:rowOff>
    </xdr:from>
    <xdr:to>
      <xdr:col>12</xdr:col>
      <xdr:colOff>85725</xdr:colOff>
      <xdr:row>58</xdr:row>
      <xdr:rowOff>0</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1466850" y="3067050"/>
          <a:ext cx="5753100" cy="6372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RBANS Effort Scale (EI) - Use for people with suspected</a:t>
          </a:r>
          <a:r>
            <a:rPr lang="en-GB" sz="1100" b="1" baseline="0">
              <a:solidFill>
                <a:schemeClr val="dk1"/>
              </a:solidFill>
              <a:effectLst/>
              <a:latin typeface="+mn-lt"/>
              <a:ea typeface="+mn-ea"/>
              <a:cs typeface="+mn-cs"/>
            </a:rPr>
            <a:t> AD or MCI</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rgbClr val="FF0000"/>
              </a:solidFill>
            </a:rPr>
            <a:t>WIP</a:t>
          </a:r>
          <a:r>
            <a:rPr lang="en-GB" sz="1100" baseline="0">
              <a:solidFill>
                <a:srgbClr val="FF0000"/>
              </a:solidFill>
            </a:rPr>
            <a:t> </a:t>
          </a:r>
        </a:p>
        <a:p>
          <a:endParaRPr lang="en-GB" sz="1100" baseline="0"/>
        </a:p>
        <a:p>
          <a:endParaRPr lang="en-GB" sz="1100"/>
        </a:p>
        <a:p>
          <a:r>
            <a:rPr lang="en-GB" sz="1100" b="1"/>
            <a:t>Text by Dr Tom Michael</a:t>
          </a:r>
          <a:r>
            <a:rPr lang="en-GB" sz="1100" b="1" baseline="0"/>
            <a:t>, Clinical Psychologist, October 2020</a:t>
          </a:r>
          <a:endParaRPr lang="en-GB" sz="11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om.Michael\Downloads\Standard+Score+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rter"/>
      <sheetName val="Sheet2"/>
    </sheetNames>
    <sheetDataSet>
      <sheetData sheetId="0"/>
      <sheetData sheetId="1">
        <row r="1">
          <cell r="C1" t="str">
            <v>Curve</v>
          </cell>
          <cell r="F1">
            <v>50</v>
          </cell>
          <cell r="G1">
            <v>21.06</v>
          </cell>
        </row>
        <row r="2">
          <cell r="B2" t="e">
            <v>#N/A</v>
          </cell>
          <cell r="C2">
            <v>4.0505885665488572E-10</v>
          </cell>
          <cell r="D2" t="e">
            <v>#N/A</v>
          </cell>
        </row>
        <row r="3">
          <cell r="B3" t="e">
            <v>#N/A</v>
          </cell>
          <cell r="C3">
            <v>6.0293545994552936E-10</v>
          </cell>
          <cell r="D3" t="e">
            <v>#N/A</v>
          </cell>
        </row>
        <row r="4">
          <cell r="B4" t="e">
            <v>#N/A</v>
          </cell>
          <cell r="C4">
            <v>8.9349746079570869E-10</v>
          </cell>
          <cell r="D4" t="e">
            <v>#N/A</v>
          </cell>
        </row>
        <row r="5">
          <cell r="B5" t="e">
            <v>#N/A</v>
          </cell>
          <cell r="C5">
            <v>1.3182130937496449E-9</v>
          </cell>
          <cell r="D5" t="e">
            <v>#N/A</v>
          </cell>
        </row>
        <row r="6">
          <cell r="B6" t="e">
            <v>#N/A</v>
          </cell>
          <cell r="C6">
            <v>1.936188881945825E-9</v>
          </cell>
          <cell r="D6" t="e">
            <v>#N/A</v>
          </cell>
        </row>
        <row r="7">
          <cell r="B7" t="e">
            <v>#N/A</v>
          </cell>
          <cell r="C7">
            <v>2.8312591643032578E-9</v>
          </cell>
          <cell r="D7" t="e">
            <v>#N/A</v>
          </cell>
        </row>
        <row r="8">
          <cell r="B8" t="e">
            <v>#N/A</v>
          </cell>
          <cell r="C8">
            <v>4.1217470001105717E-9</v>
          </cell>
          <cell r="D8" t="e">
            <v>#N/A</v>
          </cell>
        </row>
        <row r="9">
          <cell r="B9" t="e">
            <v>#N/A</v>
          </cell>
          <cell r="C9">
            <v>5.9738297073246592E-9</v>
          </cell>
          <cell r="D9" t="e">
            <v>#N/A</v>
          </cell>
        </row>
        <row r="10">
          <cell r="B10" t="e">
            <v>#N/A</v>
          </cell>
          <cell r="C10">
            <v>8.6197396432254563E-9</v>
          </cell>
          <cell r="D10" t="e">
            <v>#N/A</v>
          </cell>
        </row>
        <row r="11">
          <cell r="B11" t="e">
            <v>#N/A</v>
          </cell>
          <cell r="C11">
            <v>1.2382412297035264E-8</v>
          </cell>
          <cell r="D11" t="e">
            <v>#N/A</v>
          </cell>
        </row>
        <row r="12">
          <cell r="B12">
            <v>-62.319999999999993</v>
          </cell>
          <cell r="C12">
            <v>1.7708679390146086E-8</v>
          </cell>
          <cell r="D12">
            <v>1.7708679390146086E-8</v>
          </cell>
        </row>
        <row r="13">
          <cell r="B13">
            <v>-60.915999999999997</v>
          </cell>
          <cell r="C13">
            <v>2.5213718057154917E-8</v>
          </cell>
          <cell r="D13">
            <v>2.5213718057154917E-8</v>
          </cell>
        </row>
        <row r="14">
          <cell r="B14">
            <v>-59.511999999999986</v>
          </cell>
          <cell r="C14">
            <v>3.5740235631317432E-8</v>
          </cell>
          <cell r="D14">
            <v>3.5740235631317432E-8</v>
          </cell>
        </row>
        <row r="15">
          <cell r="B15">
            <v>-58.10799999999999</v>
          </cell>
          <cell r="C15">
            <v>5.0436824195178719E-8</v>
          </cell>
          <cell r="D15">
            <v>5.0436824195178719E-8</v>
          </cell>
        </row>
        <row r="16">
          <cell r="B16">
            <v>-56.703999999999994</v>
          </cell>
          <cell r="C16">
            <v>7.0861094628696148E-8</v>
          </cell>
          <cell r="D16">
            <v>7.0861094628696148E-8</v>
          </cell>
        </row>
        <row r="17">
          <cell r="B17">
            <v>-55.3</v>
          </cell>
          <cell r="C17">
            <v>9.9114634315619862E-8</v>
          </cell>
          <cell r="D17">
            <v>9.9114634315619862E-8</v>
          </cell>
        </row>
        <row r="18">
          <cell r="B18">
            <v>-53.895999999999987</v>
          </cell>
          <cell r="C18">
            <v>1.3801856619470783E-7</v>
          </cell>
          <cell r="D18">
            <v>1.3801856619470783E-7</v>
          </cell>
        </row>
        <row r="19">
          <cell r="B19">
            <v>-52.49199999999999</v>
          </cell>
          <cell r="C19">
            <v>1.9134056065903E-7</v>
          </cell>
          <cell r="D19">
            <v>1.9134056065903E-7</v>
          </cell>
        </row>
        <row r="20">
          <cell r="B20">
            <v>-51.087999999999994</v>
          </cell>
          <cell r="C20">
            <v>2.6408660606880502E-7</v>
          </cell>
          <cell r="D20">
            <v>2.6408660606880502E-7</v>
          </cell>
        </row>
        <row r="21">
          <cell r="B21">
            <v>-49.683999999999997</v>
          </cell>
          <cell r="C21">
            <v>3.6287371472533919E-7</v>
          </cell>
          <cell r="D21">
            <v>3.6287371472533919E-7</v>
          </cell>
        </row>
        <row r="22">
          <cell r="B22">
            <v>-48.279999999999987</v>
          </cell>
          <cell r="C22">
            <v>4.9640305804199928E-7</v>
          </cell>
          <cell r="D22">
            <v>4.9640305804199928E-7</v>
          </cell>
        </row>
        <row r="23">
          <cell r="B23">
            <v>-46.875999999999991</v>
          </cell>
          <cell r="C23">
            <v>6.7605680436578396E-7</v>
          </cell>
          <cell r="D23">
            <v>6.7605680436578396E-7</v>
          </cell>
        </row>
        <row r="24">
          <cell r="B24">
            <v>-45.471999999999994</v>
          </cell>
          <cell r="C24">
            <v>9.1664617489622463E-7</v>
          </cell>
          <cell r="D24">
            <v>9.1664617489622463E-7</v>
          </cell>
        </row>
        <row r="25">
          <cell r="B25">
            <v>-44.067999999999998</v>
          </cell>
          <cell r="C25">
            <v>1.2373429126145209E-6</v>
          </cell>
          <cell r="D25">
            <v>1.2373429126145209E-6</v>
          </cell>
        </row>
        <row r="26">
          <cell r="B26">
            <v>-42.663999999999987</v>
          </cell>
          <cell r="C26">
            <v>1.6628314193369024E-6</v>
          </cell>
          <cell r="D26">
            <v>1.6628314193369024E-6</v>
          </cell>
        </row>
        <row r="27">
          <cell r="B27">
            <v>-41.259999999999991</v>
          </cell>
          <cell r="C27">
            <v>2.2247241597092284E-6</v>
          </cell>
          <cell r="D27">
            <v>2.2247241597092284E-6</v>
          </cell>
        </row>
        <row r="28">
          <cell r="B28">
            <v>-39.855999999999995</v>
          </cell>
          <cell r="C28">
            <v>2.9632884112517205E-6</v>
          </cell>
          <cell r="D28">
            <v>2.9632884112517205E-6</v>
          </cell>
        </row>
        <row r="29">
          <cell r="B29">
            <v>-38.451999999999998</v>
          </cell>
          <cell r="C29">
            <v>3.92953785043599E-6</v>
          </cell>
          <cell r="D29">
            <v>3.92953785043599E-6</v>
          </cell>
        </row>
        <row r="30">
          <cell r="B30">
            <v>-37.048000000000002</v>
          </cell>
          <cell r="C30">
            <v>5.1877475320245033E-6</v>
          </cell>
          <cell r="D30">
            <v>5.1877475320245033E-6</v>
          </cell>
        </row>
        <row r="31">
          <cell r="B31">
            <v>-35.643999999999991</v>
          </cell>
          <cell r="C31">
            <v>6.8184551920523163E-6</v>
          </cell>
          <cell r="D31">
            <v>6.8184551920523163E-6</v>
          </cell>
        </row>
        <row r="32">
          <cell r="B32">
            <v>-34.239999999999995</v>
          </cell>
          <cell r="C32">
            <v>8.9220150509923572E-6</v>
          </cell>
          <cell r="D32">
            <v>8.9220150509923572E-6</v>
          </cell>
        </row>
        <row r="33">
          <cell r="B33">
            <v>-32.835999999999999</v>
          </cell>
          <cell r="C33">
            <v>1.1622771894357563E-5</v>
          </cell>
          <cell r="D33">
            <v>1.1622771894357563E-5</v>
          </cell>
        </row>
        <row r="34">
          <cell r="B34">
            <v>-31.432000000000002</v>
          </cell>
          <cell r="C34">
            <v>1.5073922560245645E-5</v>
          </cell>
          <cell r="D34">
            <v>1.5073922560245645E-5</v>
          </cell>
        </row>
        <row r="35">
          <cell r="B35">
            <v>-30.027999999999992</v>
          </cell>
          <cell r="C35">
            <v>1.9463128386097353E-5</v>
          </cell>
          <cell r="D35">
            <v>1.9463128386097353E-5</v>
          </cell>
        </row>
        <row r="36">
          <cell r="B36">
            <v>-28.623999999999995</v>
          </cell>
          <cell r="C36">
            <v>2.5018934914508668E-5</v>
          </cell>
          <cell r="D36">
            <v>2.5018934914508668E-5</v>
          </cell>
        </row>
        <row r="37">
          <cell r="B37">
            <v>-27.22</v>
          </cell>
          <cell r="C37">
            <v>3.2018043441388044E-5</v>
          </cell>
          <cell r="D37">
            <v>3.2018043441388044E-5</v>
          </cell>
        </row>
        <row r="38">
          <cell r="B38">
            <v>-25.816000000000003</v>
          </cell>
          <cell r="C38">
            <v>4.0793462007584798E-5</v>
          </cell>
          <cell r="D38">
            <v>4.0793462007584798E-5</v>
          </cell>
        </row>
        <row r="39">
          <cell r="B39">
            <v>-24.411999999999992</v>
          </cell>
          <cell r="C39">
            <v>5.1743540413927261E-5</v>
          </cell>
          <cell r="D39">
            <v>5.1743540413927261E-5</v>
          </cell>
        </row>
        <row r="40">
          <cell r="B40">
            <v>-23.007999999999996</v>
          </cell>
          <cell r="C40">
            <v>6.5341864085024788E-5</v>
          </cell>
          <cell r="D40">
            <v>6.5341864085024788E-5</v>
          </cell>
        </row>
        <row r="41">
          <cell r="B41">
            <v>-21.603999999999999</v>
          </cell>
          <cell r="C41">
            <v>8.2147944564867997E-5</v>
          </cell>
          <cell r="D41">
            <v>8.2147944564867997E-5</v>
          </cell>
        </row>
        <row r="42">
          <cell r="B42">
            <v>-20.200000000000003</v>
          </cell>
          <cell r="C42">
            <v>1.0281859975274034E-4</v>
          </cell>
          <cell r="D42">
            <v>1.0281859975274034E-4</v>
          </cell>
        </row>
        <row r="43">
          <cell r="B43">
            <v>-18.795999999999992</v>
          </cell>
          <cell r="C43">
            <v>1.2811986462346725E-4</v>
          </cell>
          <cell r="D43">
            <v>1.2811986462346725E-4</v>
          </cell>
        </row>
        <row r="44">
          <cell r="B44">
            <v>-17.391999999999996</v>
          </cell>
          <cell r="C44">
            <v>1.5893921343098936E-4</v>
          </cell>
          <cell r="D44">
            <v>1.5893921343098936E-4</v>
          </cell>
        </row>
        <row r="45">
          <cell r="B45">
            <v>-15.988</v>
          </cell>
          <cell r="C45">
            <v>1.9629780802555731E-4</v>
          </cell>
          <cell r="D45">
            <v>1.9629780802555731E-4</v>
          </cell>
        </row>
        <row r="46">
          <cell r="B46">
            <v>-14.584000000000003</v>
          </cell>
          <cell r="C46">
            <v>2.4136241520128577E-4</v>
          </cell>
          <cell r="D46">
            <v>2.4136241520128577E-4</v>
          </cell>
        </row>
        <row r="47">
          <cell r="B47">
            <v>-13.179999999999993</v>
          </cell>
          <cell r="C47">
            <v>2.9545656079586714E-4</v>
          </cell>
          <cell r="D47">
            <v>2.9545656079586714E-4</v>
          </cell>
        </row>
        <row r="48">
          <cell r="B48">
            <v>-11.775999999999996</v>
          </cell>
          <cell r="C48">
            <v>3.6007041207962535E-4</v>
          </cell>
          <cell r="D48">
            <v>3.6007041207962535E-4</v>
          </cell>
        </row>
        <row r="49">
          <cell r="B49">
            <v>-10.371999999999993</v>
          </cell>
          <cell r="C49">
            <v>4.3686880593423475E-4</v>
          </cell>
          <cell r="D49">
            <v>4.3686880593423475E-4</v>
          </cell>
        </row>
        <row r="50">
          <cell r="B50">
            <v>-8.9679999999999964</v>
          </cell>
          <cell r="C50">
            <v>5.2769677219866452E-4</v>
          </cell>
          <cell r="D50">
            <v>5.2769677219866452E-4</v>
          </cell>
        </row>
        <row r="51">
          <cell r="B51">
            <v>-7.563999999999993</v>
          </cell>
          <cell r="C51">
            <v>6.3458184368914595E-4</v>
          </cell>
          <cell r="D51">
            <v>6.3458184368914595E-4</v>
          </cell>
        </row>
        <row r="52">
          <cell r="B52">
            <v>-6.1599999999999966</v>
          </cell>
          <cell r="C52">
            <v>7.597324015864961E-4</v>
          </cell>
          <cell r="D52">
            <v>7.597324015864961E-4</v>
          </cell>
        </row>
        <row r="53">
          <cell r="B53">
            <v>-4.7559999999999931</v>
          </cell>
          <cell r="C53">
            <v>9.0553128224570749E-4</v>
          </cell>
          <cell r="D53">
            <v>9.0553128224570749E-4</v>
          </cell>
        </row>
        <row r="54">
          <cell r="B54">
            <v>-3.3519999999999968</v>
          </cell>
          <cell r="C54">
            <v>1.0745238742432661E-3</v>
          </cell>
          <cell r="D54">
            <v>1.0745238742432661E-3</v>
          </cell>
        </row>
        <row r="55">
          <cell r="B55">
            <v>-1.9479999999999933</v>
          </cell>
          <cell r="C55">
            <v>1.2693999677100174E-3</v>
          </cell>
          <cell r="D55">
            <v>1.2693999677100174E-3</v>
          </cell>
        </row>
        <row r="56">
          <cell r="B56">
            <v>-0.54399999999999693</v>
          </cell>
          <cell r="C56">
            <v>1.49296868632286E-3</v>
          </cell>
          <cell r="D56">
            <v>1.49296868632286E-3</v>
          </cell>
        </row>
        <row r="57">
          <cell r="B57">
            <v>0.86000000000000654</v>
          </cell>
          <cell r="C57">
            <v>1.7481259395806324E-3</v>
          </cell>
          <cell r="D57">
            <v>1.7481259395806324E-3</v>
          </cell>
        </row>
        <row r="58">
          <cell r="B58">
            <v>2.2640000000000029</v>
          </cell>
          <cell r="C58">
            <v>2.0378139818590327E-3</v>
          </cell>
          <cell r="D58">
            <v>2.0378139818590327E-3</v>
          </cell>
        </row>
        <row r="59">
          <cell r="B59">
            <v>3.6680000000000064</v>
          </cell>
          <cell r="C59">
            <v>2.3649728564154281E-3</v>
          </cell>
          <cell r="D59">
            <v>2.3649728564154281E-3</v>
          </cell>
        </row>
        <row r="60">
          <cell r="B60">
            <v>5.0720000000000027</v>
          </cell>
          <cell r="C60">
            <v>2.732483736348146E-3</v>
          </cell>
          <cell r="D60" t="e">
            <v>#N/A</v>
          </cell>
        </row>
        <row r="61">
          <cell r="B61">
            <v>6.4759999999999991</v>
          </cell>
          <cell r="C61">
            <v>3.1431044477247712E-3</v>
          </cell>
          <cell r="D61" t="e">
            <v>#N/A</v>
          </cell>
        </row>
        <row r="62">
          <cell r="B62">
            <v>7.8800000000000026</v>
          </cell>
          <cell r="C62">
            <v>3.5993977675458709E-3</v>
          </cell>
          <cell r="D62" t="e">
            <v>#N/A</v>
          </cell>
        </row>
        <row r="63">
          <cell r="B63">
            <v>9.2839999999999989</v>
          </cell>
          <cell r="C63">
            <v>4.1036534232898186E-3</v>
          </cell>
          <cell r="D63" t="e">
            <v>#N/A</v>
          </cell>
        </row>
        <row r="64">
          <cell r="B64">
            <v>10.688000000000002</v>
          </cell>
          <cell r="C64">
            <v>4.6578050713943445E-3</v>
          </cell>
          <cell r="D64" t="e">
            <v>#N/A</v>
          </cell>
        </row>
        <row r="65">
          <cell r="B65">
            <v>12.091999999999999</v>
          </cell>
          <cell r="C65">
            <v>5.2633438867262768E-3</v>
          </cell>
          <cell r="D65" t="e">
            <v>#N/A</v>
          </cell>
        </row>
        <row r="66">
          <cell r="B66">
            <v>13.496000000000002</v>
          </cell>
          <cell r="C66">
            <v>5.92123073937279E-3</v>
          </cell>
          <cell r="D66" t="e">
            <v>#N/A</v>
          </cell>
        </row>
        <row r="67">
          <cell r="B67">
            <v>14.899999999999999</v>
          </cell>
          <cell r="C67">
            <v>6.6318092528499118E-3</v>
          </cell>
          <cell r="D67" t="e">
            <v>#N/A</v>
          </cell>
        </row>
        <row r="68">
          <cell r="B68">
            <v>16.304000000000002</v>
          </cell>
          <cell r="C68">
            <v>7.3947223119637025E-3</v>
          </cell>
          <cell r="D68" t="e">
            <v>#N/A</v>
          </cell>
        </row>
        <row r="69">
          <cell r="B69">
            <v>17.707999999999998</v>
          </cell>
          <cell r="C69">
            <v>8.208834801723304E-3</v>
          </cell>
          <cell r="D69" t="e">
            <v>#N/A</v>
          </cell>
        </row>
        <row r="70">
          <cell r="B70">
            <v>19.112000000000002</v>
          </cell>
          <cell r="C70">
            <v>9.072165494151874E-3</v>
          </cell>
          <cell r="D70" t="e">
            <v>#N/A</v>
          </cell>
        </row>
        <row r="71">
          <cell r="B71">
            <v>20.516000000000002</v>
          </cell>
          <cell r="C71">
            <v>9.9818310423829913E-3</v>
          </cell>
          <cell r="D71" t="e">
            <v>#N/A</v>
          </cell>
        </row>
        <row r="72">
          <cell r="B72">
            <v>21.92</v>
          </cell>
          <cell r="C72">
            <v>1.0934004978399576E-2</v>
          </cell>
          <cell r="D72" t="e">
            <v>#N/A</v>
          </cell>
        </row>
        <row r="73">
          <cell r="B73">
            <v>23.324000000000002</v>
          </cell>
          <cell r="C73">
            <v>1.192389443296937E-2</v>
          </cell>
          <cell r="D73" t="e">
            <v>#N/A</v>
          </cell>
        </row>
        <row r="74">
          <cell r="B74">
            <v>24.728000000000002</v>
          </cell>
          <cell r="C74">
            <v>1.2945736998880863E-2</v>
          </cell>
          <cell r="D74" t="e">
            <v>#N/A</v>
          </cell>
        </row>
        <row r="75">
          <cell r="B75">
            <v>26.132000000000001</v>
          </cell>
          <cell r="C75">
            <v>1.3992819741648285E-2</v>
          </cell>
          <cell r="D75" t="e">
            <v>#N/A</v>
          </cell>
        </row>
        <row r="76">
          <cell r="B76">
            <v>27.536000000000001</v>
          </cell>
          <cell r="C76">
            <v>1.505752183114163E-2</v>
          </cell>
          <cell r="D76" t="e">
            <v>#N/A</v>
          </cell>
        </row>
        <row r="77">
          <cell r="B77">
            <v>28.94</v>
          </cell>
          <cell r="C77">
            <v>1.613138163460956E-2</v>
          </cell>
          <cell r="D77" t="e">
            <v>#N/A</v>
          </cell>
        </row>
        <row r="78">
          <cell r="B78">
            <v>30.344000000000001</v>
          </cell>
          <cell r="C78">
            <v>1.7205188393549176E-2</v>
          </cell>
          <cell r="D78" t="e">
            <v>#N/A</v>
          </cell>
        </row>
        <row r="79">
          <cell r="B79">
            <v>31.748000000000001</v>
          </cell>
          <cell r="C79">
            <v>1.8269097826468562E-2</v>
          </cell>
          <cell r="D79" t="e">
            <v>#N/A</v>
          </cell>
        </row>
        <row r="80">
          <cell r="B80">
            <v>33.152000000000001</v>
          </cell>
          <cell r="C80">
            <v>1.9312770184098847E-2</v>
          </cell>
          <cell r="D80" t="e">
            <v>#N/A</v>
          </cell>
        </row>
        <row r="81">
          <cell r="B81">
            <v>34.555999999999997</v>
          </cell>
          <cell r="C81">
            <v>2.032552846403448E-2</v>
          </cell>
          <cell r="D81" t="e">
            <v>#N/A</v>
          </cell>
        </row>
        <row r="82">
          <cell r="B82">
            <v>35.96</v>
          </cell>
          <cell r="C82">
            <v>2.129653370149015E-2</v>
          </cell>
          <cell r="D82" t="e">
            <v>#N/A</v>
          </cell>
        </row>
        <row r="83">
          <cell r="B83">
            <v>37.364000000000004</v>
          </cell>
          <cell r="C83">
            <v>2.2214973526119976E-2</v>
          </cell>
          <cell r="D83" t="e">
            <v>#N/A</v>
          </cell>
        </row>
        <row r="84">
          <cell r="B84">
            <v>38.768000000000001</v>
          </cell>
          <cell r="C84">
            <v>2.3070259545128195E-2</v>
          </cell>
          <cell r="D84" t="e">
            <v>#N/A</v>
          </cell>
        </row>
        <row r="85">
          <cell r="B85">
            <v>40.171999999999997</v>
          </cell>
          <cell r="C85">
            <v>2.3852228611197932E-2</v>
          </cell>
          <cell r="D85" t="e">
            <v>#N/A</v>
          </cell>
        </row>
        <row r="86">
          <cell r="B86">
            <v>41.576000000000001</v>
          </cell>
          <cell r="C86">
            <v>2.4551342686888224E-2</v>
          </cell>
          <cell r="D86" t="e">
            <v>#N/A</v>
          </cell>
        </row>
        <row r="87">
          <cell r="B87">
            <v>42.980000000000004</v>
          </cell>
          <cell r="C87">
            <v>2.5158881846199542E-2</v>
          </cell>
          <cell r="D87" t="e">
            <v>#N/A</v>
          </cell>
        </row>
        <row r="88">
          <cell r="B88">
            <v>44.384</v>
          </cell>
          <cell r="C88">
            <v>2.5667124973067602E-2</v>
          </cell>
          <cell r="D88" t="e">
            <v>#N/A</v>
          </cell>
        </row>
        <row r="89">
          <cell r="B89">
            <v>45.787999999999997</v>
          </cell>
          <cell r="C89">
            <v>2.6069512931697059E-2</v>
          </cell>
          <cell r="D89" t="e">
            <v>#N/A</v>
          </cell>
        </row>
        <row r="90">
          <cell r="B90">
            <v>47.192</v>
          </cell>
          <cell r="C90">
            <v>2.6360789392387847E-2</v>
          </cell>
          <cell r="D90" t="e">
            <v>#N/A</v>
          </cell>
        </row>
        <row r="91">
          <cell r="B91">
            <v>48.596000000000004</v>
          </cell>
          <cell r="C91">
            <v>2.6537115087596815E-2</v>
          </cell>
          <cell r="D91" t="e">
            <v>#N/A</v>
          </cell>
        </row>
        <row r="92">
          <cell r="B92">
            <v>50</v>
          </cell>
          <cell r="C92">
            <v>2.6596152026762181E-2</v>
          </cell>
          <cell r="D92" t="e">
            <v>#N/A</v>
          </cell>
        </row>
        <row r="93">
          <cell r="B93">
            <v>51.403999999999996</v>
          </cell>
          <cell r="C93">
            <v>2.6537115087596815E-2</v>
          </cell>
          <cell r="D93" t="e">
            <v>#N/A</v>
          </cell>
        </row>
        <row r="94">
          <cell r="B94">
            <v>52.808</v>
          </cell>
          <cell r="C94">
            <v>2.6360789392387847E-2</v>
          </cell>
          <cell r="D94" t="e">
            <v>#N/A</v>
          </cell>
        </row>
        <row r="95">
          <cell r="B95">
            <v>54.212000000000003</v>
          </cell>
          <cell r="C95">
            <v>2.6069512931697059E-2</v>
          </cell>
          <cell r="D95" t="e">
            <v>#N/A</v>
          </cell>
        </row>
        <row r="96">
          <cell r="B96">
            <v>55.616</v>
          </cell>
          <cell r="C96">
            <v>2.5667124973067602E-2</v>
          </cell>
          <cell r="D96" t="e">
            <v>#N/A</v>
          </cell>
        </row>
        <row r="97">
          <cell r="B97">
            <v>57.019999999999996</v>
          </cell>
          <cell r="C97">
            <v>2.5158881846199542E-2</v>
          </cell>
          <cell r="D97" t="e">
            <v>#N/A</v>
          </cell>
        </row>
        <row r="98">
          <cell r="B98">
            <v>58.423999999999999</v>
          </cell>
          <cell r="C98">
            <v>2.4551342686888224E-2</v>
          </cell>
          <cell r="D98" t="e">
            <v>#N/A</v>
          </cell>
        </row>
        <row r="99">
          <cell r="B99">
            <v>59.828000000000003</v>
          </cell>
          <cell r="C99">
            <v>2.3852228611197932E-2</v>
          </cell>
          <cell r="D99" t="e">
            <v>#N/A</v>
          </cell>
        </row>
        <row r="100">
          <cell r="B100">
            <v>61.231999999999999</v>
          </cell>
          <cell r="C100">
            <v>2.3070259545128195E-2</v>
          </cell>
          <cell r="D100" t="e">
            <v>#N/A</v>
          </cell>
        </row>
        <row r="101">
          <cell r="B101">
            <v>62.635999999999996</v>
          </cell>
          <cell r="C101">
            <v>2.2214973526119976E-2</v>
          </cell>
          <cell r="D101" t="e">
            <v>#N/A</v>
          </cell>
        </row>
        <row r="102">
          <cell r="B102">
            <v>64.039999999999992</v>
          </cell>
          <cell r="C102">
            <v>2.129653370149015E-2</v>
          </cell>
          <cell r="D102" t="e">
            <v>#N/A</v>
          </cell>
        </row>
        <row r="103">
          <cell r="B103">
            <v>65.444000000000003</v>
          </cell>
          <cell r="C103">
            <v>2.032552846403448E-2</v>
          </cell>
          <cell r="D103" t="e">
            <v>#N/A</v>
          </cell>
        </row>
        <row r="104">
          <cell r="B104">
            <v>66.847999999999999</v>
          </cell>
          <cell r="C104">
            <v>1.9312770184098847E-2</v>
          </cell>
          <cell r="D104" t="e">
            <v>#N/A</v>
          </cell>
        </row>
        <row r="105">
          <cell r="B105">
            <v>68.251999999999995</v>
          </cell>
          <cell r="C105">
            <v>1.8269097826468562E-2</v>
          </cell>
          <cell r="D105" t="e">
            <v>#N/A</v>
          </cell>
        </row>
        <row r="106">
          <cell r="B106">
            <v>69.656000000000006</v>
          </cell>
          <cell r="C106">
            <v>1.7205188393549176E-2</v>
          </cell>
          <cell r="D106" t="e">
            <v>#N/A</v>
          </cell>
        </row>
        <row r="107">
          <cell r="B107">
            <v>71.06</v>
          </cell>
          <cell r="C107">
            <v>1.613138163460956E-2</v>
          </cell>
          <cell r="D107" t="e">
            <v>#N/A</v>
          </cell>
        </row>
        <row r="108">
          <cell r="B108">
            <v>72.463999999999999</v>
          </cell>
          <cell r="C108">
            <v>1.505752183114163E-2</v>
          </cell>
          <cell r="D108" t="e">
            <v>#N/A</v>
          </cell>
        </row>
        <row r="109">
          <cell r="B109">
            <v>73.867999999999995</v>
          </cell>
          <cell r="C109">
            <v>1.3992819741648285E-2</v>
          </cell>
          <cell r="D109" t="e">
            <v>#N/A</v>
          </cell>
        </row>
        <row r="110">
          <cell r="B110">
            <v>75.271999999999991</v>
          </cell>
          <cell r="C110">
            <v>1.2945736998880863E-2</v>
          </cell>
          <cell r="D110" t="e">
            <v>#N/A</v>
          </cell>
        </row>
        <row r="111">
          <cell r="B111">
            <v>76.676000000000002</v>
          </cell>
          <cell r="C111">
            <v>1.192389443296937E-2</v>
          </cell>
          <cell r="D111" t="e">
            <v>#N/A</v>
          </cell>
        </row>
        <row r="112">
          <cell r="B112">
            <v>78.08</v>
          </cell>
          <cell r="C112">
            <v>1.0934004978399576E-2</v>
          </cell>
          <cell r="D112" t="e">
            <v>#N/A</v>
          </cell>
        </row>
        <row r="113">
          <cell r="B113">
            <v>79.483999999999995</v>
          </cell>
          <cell r="C113">
            <v>9.9818310423829913E-3</v>
          </cell>
          <cell r="D113" t="e">
            <v>#N/A</v>
          </cell>
        </row>
        <row r="114">
          <cell r="B114">
            <v>80.888000000000005</v>
          </cell>
          <cell r="C114">
            <v>9.072165494151874E-3</v>
          </cell>
          <cell r="D114" t="e">
            <v>#N/A</v>
          </cell>
        </row>
        <row r="115">
          <cell r="B115">
            <v>82.292000000000002</v>
          </cell>
          <cell r="C115">
            <v>8.208834801723304E-3</v>
          </cell>
          <cell r="D115" t="e">
            <v>#N/A</v>
          </cell>
        </row>
        <row r="116">
          <cell r="B116">
            <v>83.695999999999998</v>
          </cell>
          <cell r="C116">
            <v>7.3947223119637025E-3</v>
          </cell>
          <cell r="D116" t="e">
            <v>#N/A</v>
          </cell>
        </row>
        <row r="117">
          <cell r="B117">
            <v>85.1</v>
          </cell>
          <cell r="C117">
            <v>6.6318092528499118E-3</v>
          </cell>
          <cell r="D117" t="e">
            <v>#N/A</v>
          </cell>
        </row>
        <row r="118">
          <cell r="B118">
            <v>86.503999999999991</v>
          </cell>
          <cell r="C118">
            <v>5.92123073937279E-3</v>
          </cell>
          <cell r="D118" t="e">
            <v>#N/A</v>
          </cell>
        </row>
        <row r="119">
          <cell r="B119">
            <v>87.908000000000001</v>
          </cell>
          <cell r="C119">
            <v>5.2633438867262768E-3</v>
          </cell>
          <cell r="D119" t="e">
            <v>#N/A</v>
          </cell>
        </row>
        <row r="120">
          <cell r="B120">
            <v>89.311999999999998</v>
          </cell>
          <cell r="C120">
            <v>4.6578050713943445E-3</v>
          </cell>
          <cell r="D120" t="e">
            <v>#N/A</v>
          </cell>
        </row>
        <row r="121">
          <cell r="B121">
            <v>90.716000000000008</v>
          </cell>
          <cell r="C121">
            <v>4.1036534232898186E-3</v>
          </cell>
          <cell r="D121" t="e">
            <v>#N/A</v>
          </cell>
        </row>
        <row r="122">
          <cell r="B122">
            <v>92.12</v>
          </cell>
          <cell r="C122">
            <v>3.5993977675458709E-3</v>
          </cell>
          <cell r="D122" t="e">
            <v>#N/A</v>
          </cell>
        </row>
        <row r="123">
          <cell r="B123">
            <v>93.524000000000001</v>
          </cell>
          <cell r="C123">
            <v>3.1431044477247712E-3</v>
          </cell>
          <cell r="D123" t="e">
            <v>#N/A</v>
          </cell>
        </row>
        <row r="124">
          <cell r="B124">
            <v>94.927999999999997</v>
          </cell>
          <cell r="C124">
            <v>2.732483736348146E-3</v>
          </cell>
          <cell r="D124" t="e">
            <v>#N/A</v>
          </cell>
        </row>
        <row r="125">
          <cell r="B125">
            <v>96.331999999999994</v>
          </cell>
          <cell r="C125">
            <v>2.3649728564154281E-3</v>
          </cell>
          <cell r="D125" t="e">
            <v>#N/A</v>
          </cell>
        </row>
        <row r="126">
          <cell r="B126">
            <v>97.73599999999999</v>
          </cell>
          <cell r="C126">
            <v>2.0378139818590327E-3</v>
          </cell>
          <cell r="D126" t="e">
            <v>#N/A</v>
          </cell>
        </row>
        <row r="127">
          <cell r="B127">
            <v>99.139999999999986</v>
          </cell>
          <cell r="C127">
            <v>1.7481259395806324E-3</v>
          </cell>
          <cell r="D127" t="e">
            <v>#N/A</v>
          </cell>
        </row>
        <row r="128">
          <cell r="B128">
            <v>100.544</v>
          </cell>
          <cell r="C128">
            <v>1.49296868632286E-3</v>
          </cell>
          <cell r="D128" t="e">
            <v>#N/A</v>
          </cell>
        </row>
        <row r="129">
          <cell r="B129">
            <v>101.94799999999999</v>
          </cell>
          <cell r="C129">
            <v>1.2693999677100174E-3</v>
          </cell>
          <cell r="D129" t="e">
            <v>#N/A</v>
          </cell>
        </row>
        <row r="130">
          <cell r="B130">
            <v>103.352</v>
          </cell>
          <cell r="C130">
            <v>1.0745238742432661E-3</v>
          </cell>
          <cell r="D130" t="e">
            <v>#N/A</v>
          </cell>
        </row>
        <row r="131">
          <cell r="B131">
            <v>104.756</v>
          </cell>
          <cell r="C131">
            <v>9.0553128224570749E-4</v>
          </cell>
          <cell r="D131" t="e">
            <v>#N/A</v>
          </cell>
        </row>
        <row r="132">
          <cell r="B132">
            <v>106.16</v>
          </cell>
          <cell r="C132">
            <v>7.597324015864961E-4</v>
          </cell>
          <cell r="D132" t="e">
            <v>#N/A</v>
          </cell>
        </row>
        <row r="133">
          <cell r="B133">
            <v>107.56399999999999</v>
          </cell>
          <cell r="C133">
            <v>6.3458184368914595E-4</v>
          </cell>
          <cell r="D133" t="e">
            <v>#N/A</v>
          </cell>
        </row>
        <row r="134">
          <cell r="B134">
            <v>108.96799999999999</v>
          </cell>
          <cell r="C134">
            <v>5.2769677219866452E-4</v>
          </cell>
          <cell r="D134" t="e">
            <v>#N/A</v>
          </cell>
        </row>
        <row r="135">
          <cell r="B135">
            <v>110.37199999999999</v>
          </cell>
          <cell r="C135">
            <v>4.3686880593423475E-4</v>
          </cell>
          <cell r="D135" t="e">
            <v>#N/A</v>
          </cell>
        </row>
        <row r="136">
          <cell r="B136">
            <v>111.776</v>
          </cell>
          <cell r="C136">
            <v>3.6007041207962535E-4</v>
          </cell>
          <cell r="D136" t="e">
            <v>#N/A</v>
          </cell>
        </row>
        <row r="137">
          <cell r="B137">
            <v>113.17999999999999</v>
          </cell>
          <cell r="C137">
            <v>2.9545656079586714E-4</v>
          </cell>
          <cell r="D137" t="e">
            <v>#N/A</v>
          </cell>
        </row>
        <row r="138">
          <cell r="B138">
            <v>114.584</v>
          </cell>
          <cell r="C138">
            <v>2.4136241520128577E-4</v>
          </cell>
          <cell r="D138" t="e">
            <v>#N/A</v>
          </cell>
        </row>
        <row r="139">
          <cell r="B139">
            <v>115.988</v>
          </cell>
          <cell r="C139">
            <v>1.9629780802555731E-4</v>
          </cell>
          <cell r="D139" t="e">
            <v>#N/A</v>
          </cell>
        </row>
        <row r="140">
          <cell r="B140">
            <v>117.392</v>
          </cell>
          <cell r="C140">
            <v>1.5893921343098936E-4</v>
          </cell>
          <cell r="D140" t="e">
            <v>#N/A</v>
          </cell>
        </row>
        <row r="141">
          <cell r="B141">
            <v>118.79599999999999</v>
          </cell>
          <cell r="C141">
            <v>1.2811986462346725E-4</v>
          </cell>
          <cell r="D141" t="e">
            <v>#N/A</v>
          </cell>
        </row>
        <row r="142">
          <cell r="B142">
            <v>120.2</v>
          </cell>
          <cell r="C142">
            <v>1.0281859975274034E-4</v>
          </cell>
          <cell r="D142" t="e">
            <v>#N/A</v>
          </cell>
        </row>
        <row r="143">
          <cell r="B143">
            <v>121.604</v>
          </cell>
          <cell r="C143">
            <v>8.2147944564867997E-5</v>
          </cell>
          <cell r="D143" t="e">
            <v>#N/A</v>
          </cell>
        </row>
        <row r="144">
          <cell r="B144">
            <v>123.008</v>
          </cell>
          <cell r="C144">
            <v>6.5341864085024788E-5</v>
          </cell>
          <cell r="D144" t="e">
            <v>#N/A</v>
          </cell>
        </row>
        <row r="145">
          <cell r="B145">
            <v>124.41199999999999</v>
          </cell>
          <cell r="C145">
            <v>5.1743540413927261E-5</v>
          </cell>
          <cell r="D145" t="e">
            <v>#N/A</v>
          </cell>
        </row>
        <row r="146">
          <cell r="B146">
            <v>125.816</v>
          </cell>
          <cell r="C146">
            <v>4.0793462007584798E-5</v>
          </cell>
          <cell r="D146" t="e">
            <v>#N/A</v>
          </cell>
        </row>
        <row r="147">
          <cell r="B147">
            <v>127.22</v>
          </cell>
          <cell r="C147">
            <v>3.2018043441388044E-5</v>
          </cell>
          <cell r="D147" t="e">
            <v>#N/A</v>
          </cell>
        </row>
        <row r="148">
          <cell r="B148">
            <v>128.624</v>
          </cell>
          <cell r="C148">
            <v>2.5018934914508668E-5</v>
          </cell>
          <cell r="D148" t="e">
            <v>#N/A</v>
          </cell>
        </row>
        <row r="149">
          <cell r="B149">
            <v>130.02799999999999</v>
          </cell>
          <cell r="C149">
            <v>1.9463128386097353E-5</v>
          </cell>
          <cell r="D149" t="e">
            <v>#N/A</v>
          </cell>
        </row>
        <row r="150">
          <cell r="B150">
            <v>131.43200000000002</v>
          </cell>
          <cell r="C150">
            <v>1.5073922560245645E-5</v>
          </cell>
          <cell r="D150" t="e">
            <v>#N/A</v>
          </cell>
        </row>
        <row r="151">
          <cell r="B151">
            <v>132.83600000000001</v>
          </cell>
          <cell r="C151">
            <v>1.1622771894357563E-5</v>
          </cell>
          <cell r="D151" t="e">
            <v>#N/A</v>
          </cell>
        </row>
        <row r="152">
          <cell r="B152">
            <v>134.24</v>
          </cell>
          <cell r="C152">
            <v>8.9220150509923572E-6</v>
          </cell>
          <cell r="D152" t="e">
            <v>#N/A</v>
          </cell>
        </row>
        <row r="153">
          <cell r="B153">
            <v>135.64400000000001</v>
          </cell>
          <cell r="C153">
            <v>6.8184551920523163E-6</v>
          </cell>
          <cell r="D153" t="e">
            <v>#N/A</v>
          </cell>
        </row>
        <row r="154">
          <cell r="B154">
            <v>137.048</v>
          </cell>
          <cell r="C154">
            <v>5.1877475320245033E-6</v>
          </cell>
          <cell r="D154" t="e">
            <v>#N/A</v>
          </cell>
        </row>
        <row r="155">
          <cell r="B155">
            <v>138.452</v>
          </cell>
          <cell r="C155">
            <v>3.92953785043599E-6</v>
          </cell>
          <cell r="D155" t="e">
            <v>#N/A</v>
          </cell>
        </row>
        <row r="156">
          <cell r="B156">
            <v>139.85599999999999</v>
          </cell>
          <cell r="C156">
            <v>2.9632884112517205E-6</v>
          </cell>
          <cell r="D156" t="e">
            <v>#N/A</v>
          </cell>
        </row>
        <row r="157">
          <cell r="B157">
            <v>141.26</v>
          </cell>
          <cell r="C157">
            <v>2.2247241597092284E-6</v>
          </cell>
          <cell r="D157" t="e">
            <v>#N/A</v>
          </cell>
        </row>
        <row r="158">
          <cell r="B158">
            <v>142.66399999999999</v>
          </cell>
          <cell r="C158">
            <v>1.6628314193369024E-6</v>
          </cell>
          <cell r="D158" t="e">
            <v>#N/A</v>
          </cell>
        </row>
        <row r="159">
          <cell r="B159">
            <v>144.06799999999998</v>
          </cell>
          <cell r="C159">
            <v>1.2373429126145209E-6</v>
          </cell>
          <cell r="D159" t="e">
            <v>#N/A</v>
          </cell>
        </row>
        <row r="160">
          <cell r="B160">
            <v>145.47199999999998</v>
          </cell>
          <cell r="C160">
            <v>9.1664617489622463E-7</v>
          </cell>
          <cell r="D160" t="e">
            <v>#N/A</v>
          </cell>
        </row>
        <row r="161">
          <cell r="B161">
            <v>146.87599999999998</v>
          </cell>
          <cell r="C161">
            <v>6.7605680436578396E-7</v>
          </cell>
          <cell r="D161" t="e">
            <v>#N/A</v>
          </cell>
        </row>
        <row r="162">
          <cell r="B162">
            <v>148.27999999999997</v>
          </cell>
          <cell r="C162">
            <v>4.9640305804199928E-7</v>
          </cell>
          <cell r="D162" t="e">
            <v>#N/A</v>
          </cell>
        </row>
        <row r="163">
          <cell r="B163">
            <v>149.684</v>
          </cell>
          <cell r="C163">
            <v>3.6287371472533919E-7</v>
          </cell>
          <cell r="D163" t="e">
            <v>#N/A</v>
          </cell>
        </row>
        <row r="164">
          <cell r="B164">
            <v>151.08799999999999</v>
          </cell>
          <cell r="C164">
            <v>2.6408660606880502E-7</v>
          </cell>
          <cell r="D164" t="e">
            <v>#N/A</v>
          </cell>
        </row>
        <row r="165">
          <cell r="B165">
            <v>152.49199999999999</v>
          </cell>
          <cell r="C165">
            <v>1.9134056065903E-7</v>
          </cell>
          <cell r="D165" t="e">
            <v>#N/A</v>
          </cell>
        </row>
        <row r="166">
          <cell r="B166">
            <v>153.89599999999999</v>
          </cell>
          <cell r="C166">
            <v>1.3801856619470783E-7</v>
          </cell>
          <cell r="D166" t="e">
            <v>#N/A</v>
          </cell>
        </row>
        <row r="167">
          <cell r="B167">
            <v>155.30000000000001</v>
          </cell>
          <cell r="C167">
            <v>9.9114634315619862E-8</v>
          </cell>
          <cell r="D167" t="e">
            <v>#N/A</v>
          </cell>
        </row>
        <row r="168">
          <cell r="B168">
            <v>156.70400000000001</v>
          </cell>
          <cell r="C168">
            <v>7.0861094628696148E-8</v>
          </cell>
          <cell r="D168" t="e">
            <v>#N/A</v>
          </cell>
        </row>
        <row r="169">
          <cell r="B169">
            <v>158.108</v>
          </cell>
          <cell r="C169">
            <v>5.0436824195178719E-8</v>
          </cell>
          <cell r="D169" t="e">
            <v>#N/A</v>
          </cell>
        </row>
        <row r="170">
          <cell r="B170">
            <v>159.512</v>
          </cell>
          <cell r="C170">
            <v>3.5740235631317432E-8</v>
          </cell>
          <cell r="D170" t="e">
            <v>#N/A</v>
          </cell>
        </row>
        <row r="171">
          <cell r="B171">
            <v>160.916</v>
          </cell>
          <cell r="C171">
            <v>2.5213718057154917E-8</v>
          </cell>
          <cell r="D171" t="e">
            <v>#N/A</v>
          </cell>
        </row>
        <row r="172">
          <cell r="B172">
            <v>162.32</v>
          </cell>
          <cell r="C172">
            <v>1.7708679390146086E-8</v>
          </cell>
          <cell r="D172" t="e">
            <v>#N/A</v>
          </cell>
        </row>
        <row r="173">
          <cell r="B173" t="e">
            <v>#N/A</v>
          </cell>
          <cell r="C173">
            <v>1.2382412297035264E-8</v>
          </cell>
          <cell r="D173" t="e">
            <v>#N/A</v>
          </cell>
        </row>
        <row r="174">
          <cell r="B174" t="e">
            <v>#N/A</v>
          </cell>
          <cell r="C174">
            <v>8.6197396432254563E-9</v>
          </cell>
          <cell r="D174" t="e">
            <v>#N/A</v>
          </cell>
        </row>
        <row r="175">
          <cell r="B175" t="e">
            <v>#N/A</v>
          </cell>
          <cell r="C175">
            <v>5.9738297073246592E-9</v>
          </cell>
          <cell r="D175" t="e">
            <v>#N/A</v>
          </cell>
        </row>
        <row r="176">
          <cell r="B176" t="e">
            <v>#N/A</v>
          </cell>
          <cell r="C176">
            <v>4.1217470001105717E-9</v>
          </cell>
          <cell r="D176" t="e">
            <v>#N/A</v>
          </cell>
        </row>
        <row r="177">
          <cell r="B177" t="e">
            <v>#N/A</v>
          </cell>
          <cell r="C177">
            <v>2.8312591643032578E-9</v>
          </cell>
          <cell r="D177" t="e">
            <v>#N/A</v>
          </cell>
        </row>
        <row r="178">
          <cell r="B178" t="e">
            <v>#N/A</v>
          </cell>
          <cell r="C178">
            <v>1.936188881945825E-9</v>
          </cell>
          <cell r="D178" t="e">
            <v>#N/A</v>
          </cell>
        </row>
        <row r="179">
          <cell r="B179" t="e">
            <v>#N/A</v>
          </cell>
          <cell r="C179">
            <v>1.3182130937496449E-9</v>
          </cell>
          <cell r="D179" t="e">
            <v>#N/A</v>
          </cell>
        </row>
        <row r="180">
          <cell r="B180" t="e">
            <v>#N/A</v>
          </cell>
          <cell r="C180">
            <v>8.9349746079570869E-10</v>
          </cell>
          <cell r="D180" t="e">
            <v>#N/A</v>
          </cell>
        </row>
        <row r="181">
          <cell r="B181" t="e">
            <v>#N/A</v>
          </cell>
          <cell r="C181">
            <v>6.0293545994552936E-10</v>
          </cell>
          <cell r="D181" t="e">
            <v>#N/A</v>
          </cell>
        </row>
        <row r="182">
          <cell r="B182" t="e">
            <v>#N/A</v>
          </cell>
          <cell r="C182">
            <v>4.0505885665488572E-10</v>
          </cell>
          <cell r="D182" t="e">
            <v>#N/A</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homepages.abdn.ac.uk/j.crawford/pages/dept/psychom.htm"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homepages.abdn.ac.uk/j.crawford/pages/dept/MoodScore.htm"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12.bin"/><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13.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www.researchgate.net/publication/348842952_Age-_and_Sex-Specific_Standard_Scores_for_the_Reading_the_Mind_in_the_Eyes_Test/link/603a6feb4585158939d3f64f/download" TargetMode="External"/><Relationship Id="rId1" Type="http://schemas.openxmlformats.org/officeDocument/2006/relationships/hyperlink" Target="https://pubmed.ncbi.nlm.nih.gov/11280420/"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researchgate.net/publication/221871931_Parsimonious_Estimation_of_the_Wechsler_Memory_Scale_Fourth_Edition_Demographically_Adjusted_Index_Scores_Immediate_and_Delayed_Memory"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pubmed.ncbi.nlm.nih.gov/3203794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uspharmacist.com/article/managing-neuropsychiatric-symptoms-in-traumatic-brain-injury"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ncbi.nlm.nih.gov/pmc/articles/PMC3665170/" TargetMode="External"/><Relationship Id="rId2" Type="http://schemas.openxmlformats.org/officeDocument/2006/relationships/hyperlink" Target="https://docs.autismresearchcentre.com/papers/2001_BCetal_AQ.pdf" TargetMode="External"/><Relationship Id="rId1" Type="http://schemas.openxmlformats.org/officeDocument/2006/relationships/hyperlink" Target="https://molecularautism.biomedcentral.com/articles/10.1186/2040-2392-6-2" TargetMode="External"/><Relationship Id="rId6" Type="http://schemas.openxmlformats.org/officeDocument/2006/relationships/drawing" Target="../drawings/drawing5.xml"/><Relationship Id="rId5" Type="http://schemas.openxmlformats.org/officeDocument/2006/relationships/printerSettings" Target="../printerSettings/printerSettings6.bin"/><Relationship Id="rId4" Type="http://schemas.openxmlformats.org/officeDocument/2006/relationships/hyperlink" Target="https://novopsych.com.au/assessments/diagnosis/autism-spectrum-quotien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chrome-extension://efaidnbmnnnibpcajpcglclefindmkaj/https:/novopsych.com.au/wp-content/uploads/2023/03/Adult-ADHD-Self-Report-Scale-ASRS-V1.1.pdf" TargetMode="External"/><Relationship Id="rId2" Type="http://schemas.openxmlformats.org/officeDocument/2006/relationships/hyperlink" Target="https://novopsych.com.au/assessments/diagnosis/adult-adhd-self-report-scale-asrs/" TargetMode="External"/><Relationship Id="rId1" Type="http://schemas.openxmlformats.org/officeDocument/2006/relationships/hyperlink" Target="https://onlinelibrary.wiley.com/doi/10.1111/ijcp.13260" TargetMode="External"/><Relationship Id="rId5" Type="http://schemas.openxmlformats.org/officeDocument/2006/relationships/drawing" Target="../drawings/drawing6.xm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0"/>
  <sheetViews>
    <sheetView showGridLines="0" workbookViewId="0">
      <pane ySplit="1" topLeftCell="A20" activePane="bottomLeft" state="frozen"/>
      <selection pane="bottomLeft" activeCell="B32" sqref="B32"/>
    </sheetView>
  </sheetViews>
  <sheetFormatPr defaultRowHeight="15" x14ac:dyDescent="0.25"/>
  <cols>
    <col min="2" max="2" width="32.7109375" customWidth="1"/>
    <col min="3" max="3" width="32.140625" customWidth="1"/>
    <col min="4" max="5" width="78.5703125" customWidth="1"/>
  </cols>
  <sheetData>
    <row r="1" spans="1:8" ht="21" x14ac:dyDescent="0.35">
      <c r="A1" s="10" t="s">
        <v>366</v>
      </c>
      <c r="B1" s="2"/>
      <c r="C1" s="2"/>
      <c r="D1" s="2"/>
      <c r="E1" s="227" t="s">
        <v>365</v>
      </c>
      <c r="G1" s="9"/>
    </row>
    <row r="3" spans="1:8" x14ac:dyDescent="0.25">
      <c r="B3" s="3"/>
    </row>
    <row r="4" spans="1:8" x14ac:dyDescent="0.25">
      <c r="B4" s="3"/>
    </row>
    <row r="5" spans="1:8" x14ac:dyDescent="0.25">
      <c r="B5" s="3"/>
      <c r="E5" s="15"/>
      <c r="H5" s="15"/>
    </row>
    <row r="6" spans="1:8" x14ac:dyDescent="0.25">
      <c r="B6" s="3"/>
    </row>
    <row r="7" spans="1:8" x14ac:dyDescent="0.25">
      <c r="B7" s="3"/>
    </row>
    <row r="8" spans="1:8" x14ac:dyDescent="0.25">
      <c r="B8" s="3"/>
    </row>
    <row r="9" spans="1:8" x14ac:dyDescent="0.25">
      <c r="B9" s="3"/>
    </row>
    <row r="10" spans="1:8" x14ac:dyDescent="0.25">
      <c r="B10" s="3"/>
    </row>
    <row r="11" spans="1:8" x14ac:dyDescent="0.25">
      <c r="B11" s="3"/>
    </row>
    <row r="12" spans="1:8" x14ac:dyDescent="0.25">
      <c r="B12" s="3"/>
    </row>
    <row r="13" spans="1:8" x14ac:dyDescent="0.25">
      <c r="B13" s="3"/>
    </row>
    <row r="19" spans="2:5" x14ac:dyDescent="0.25">
      <c r="B19" s="3" t="s">
        <v>86</v>
      </c>
    </row>
    <row r="21" spans="2:5" ht="30" customHeight="1" x14ac:dyDescent="0.25">
      <c r="B21" s="224" t="s">
        <v>87</v>
      </c>
      <c r="C21" s="225" t="s">
        <v>324</v>
      </c>
      <c r="D21" s="225" t="s">
        <v>90</v>
      </c>
      <c r="E21" s="226" t="s">
        <v>16</v>
      </c>
    </row>
    <row r="22" spans="2:5" ht="30" customHeight="1" x14ac:dyDescent="0.25">
      <c r="B22" s="206" t="s">
        <v>88</v>
      </c>
      <c r="C22" s="207" t="s">
        <v>89</v>
      </c>
      <c r="D22" s="207" t="s">
        <v>308</v>
      </c>
      <c r="E22" s="220" t="s">
        <v>307</v>
      </c>
    </row>
    <row r="23" spans="2:5" ht="30" customHeight="1" x14ac:dyDescent="0.25">
      <c r="B23" s="222" t="s">
        <v>254</v>
      </c>
      <c r="C23" s="223" t="s">
        <v>258</v>
      </c>
      <c r="D23" s="223" t="s">
        <v>255</v>
      </c>
      <c r="E23" s="204"/>
    </row>
    <row r="24" spans="2:5" ht="30" customHeight="1" x14ac:dyDescent="0.25">
      <c r="B24" s="208" t="s">
        <v>231</v>
      </c>
      <c r="C24" s="209" t="s">
        <v>218</v>
      </c>
      <c r="D24" s="207" t="s">
        <v>219</v>
      </c>
      <c r="E24" s="115"/>
    </row>
    <row r="25" spans="2:5" ht="30" customHeight="1" x14ac:dyDescent="0.25">
      <c r="B25" s="210" t="s">
        <v>214</v>
      </c>
      <c r="C25" s="211" t="s">
        <v>218</v>
      </c>
      <c r="D25" s="211" t="s">
        <v>220</v>
      </c>
      <c r="E25" s="204"/>
    </row>
    <row r="26" spans="2:5" ht="30" customHeight="1" x14ac:dyDescent="0.25">
      <c r="B26" s="206" t="s">
        <v>273</v>
      </c>
      <c r="C26" s="207" t="s">
        <v>91</v>
      </c>
      <c r="D26" s="207" t="s">
        <v>92</v>
      </c>
      <c r="E26" s="115"/>
    </row>
    <row r="27" spans="2:5" ht="30" customHeight="1" x14ac:dyDescent="0.25">
      <c r="B27" s="210" t="s">
        <v>362</v>
      </c>
      <c r="C27" s="261" t="s">
        <v>363</v>
      </c>
      <c r="D27" s="211" t="s">
        <v>333</v>
      </c>
      <c r="E27" s="259" t="s">
        <v>364</v>
      </c>
    </row>
    <row r="28" spans="2:5" ht="30" customHeight="1" x14ac:dyDescent="0.25">
      <c r="B28" s="206" t="s">
        <v>331</v>
      </c>
      <c r="C28" s="207" t="s">
        <v>332</v>
      </c>
      <c r="D28" s="207" t="s">
        <v>333</v>
      </c>
      <c r="E28" s="262" t="s">
        <v>334</v>
      </c>
    </row>
    <row r="29" spans="2:5" ht="30" customHeight="1" x14ac:dyDescent="0.25">
      <c r="B29" s="210" t="s">
        <v>302</v>
      </c>
      <c r="C29" s="211" t="s">
        <v>303</v>
      </c>
      <c r="D29" s="211" t="s">
        <v>304</v>
      </c>
      <c r="E29" s="204"/>
    </row>
    <row r="30" spans="2:5" ht="30" x14ac:dyDescent="0.25">
      <c r="B30" s="206" t="s">
        <v>207</v>
      </c>
      <c r="C30" s="213" t="s">
        <v>208</v>
      </c>
      <c r="D30" s="213" t="s">
        <v>230</v>
      </c>
      <c r="E30" s="115"/>
    </row>
    <row r="31" spans="2:5" ht="30" customHeight="1" x14ac:dyDescent="0.25">
      <c r="B31" s="210" t="s">
        <v>103</v>
      </c>
      <c r="C31" s="211" t="s">
        <v>104</v>
      </c>
      <c r="D31" s="211" t="s">
        <v>105</v>
      </c>
      <c r="E31" s="204"/>
    </row>
    <row r="32" spans="2:5" ht="30" customHeight="1" x14ac:dyDescent="0.25">
      <c r="B32" s="206" t="s">
        <v>135</v>
      </c>
      <c r="C32" s="213" t="s">
        <v>215</v>
      </c>
      <c r="D32" s="207" t="s">
        <v>216</v>
      </c>
      <c r="E32" s="115"/>
    </row>
    <row r="33" spans="2:5" ht="30" customHeight="1" x14ac:dyDescent="0.25">
      <c r="B33" s="210" t="s">
        <v>281</v>
      </c>
      <c r="C33" s="260" t="s">
        <v>282</v>
      </c>
      <c r="D33" s="211" t="s">
        <v>283</v>
      </c>
      <c r="E33" s="204"/>
    </row>
    <row r="34" spans="2:5" ht="30" customHeight="1" x14ac:dyDescent="0.25">
      <c r="B34" s="206" t="s">
        <v>136</v>
      </c>
      <c r="C34" s="207" t="s">
        <v>137</v>
      </c>
      <c r="D34" s="207" t="s">
        <v>217</v>
      </c>
      <c r="E34" s="115"/>
    </row>
    <row r="35" spans="2:5" ht="30" customHeight="1" x14ac:dyDescent="0.25">
      <c r="B35" s="210" t="s">
        <v>286</v>
      </c>
      <c r="C35" s="261" t="s">
        <v>284</v>
      </c>
      <c r="D35" s="261" t="s">
        <v>285</v>
      </c>
      <c r="E35" s="204"/>
    </row>
    <row r="36" spans="2:5" ht="30" customHeight="1" x14ac:dyDescent="0.25">
      <c r="B36" s="206" t="s">
        <v>181</v>
      </c>
      <c r="C36" s="207" t="s">
        <v>182</v>
      </c>
      <c r="D36" s="207" t="s">
        <v>183</v>
      </c>
      <c r="E36" s="115"/>
    </row>
    <row r="37" spans="2:5" ht="30" customHeight="1" x14ac:dyDescent="0.25">
      <c r="B37" s="210" t="s">
        <v>227</v>
      </c>
      <c r="C37" s="211" t="s">
        <v>228</v>
      </c>
      <c r="D37" s="211" t="s">
        <v>229</v>
      </c>
      <c r="E37" s="204"/>
    </row>
    <row r="47" spans="2:5" x14ac:dyDescent="0.25">
      <c r="B47" s="3" t="s">
        <v>26</v>
      </c>
    </row>
    <row r="49" spans="2:2" x14ac:dyDescent="0.25">
      <c r="B49" t="s">
        <v>27</v>
      </c>
    </row>
    <row r="50" spans="2:2" x14ac:dyDescent="0.25">
      <c r="B50" t="s">
        <v>28</v>
      </c>
    </row>
    <row r="52" spans="2:2" x14ac:dyDescent="0.25">
      <c r="B52" t="s">
        <v>29</v>
      </c>
    </row>
    <row r="54" spans="2:2" x14ac:dyDescent="0.25">
      <c r="B54" t="s">
        <v>30</v>
      </c>
    </row>
    <row r="56" spans="2:2" x14ac:dyDescent="0.25">
      <c r="B56" t="s">
        <v>31</v>
      </c>
    </row>
    <row r="59" spans="2:2" x14ac:dyDescent="0.25">
      <c r="B59" t="s">
        <v>32</v>
      </c>
    </row>
    <row r="60" spans="2:2" x14ac:dyDescent="0.25">
      <c r="B60" s="15" t="s">
        <v>33</v>
      </c>
    </row>
  </sheetData>
  <hyperlinks>
    <hyperlink ref="B60" r:id="rId1" xr:uid="{00000000-0004-0000-0000-000000000000}"/>
    <hyperlink ref="B22" location="'Bell Curves'!A1" display="Bell Curves" xr:uid="{00000000-0004-0000-0000-000001000000}"/>
    <hyperlink ref="B25" location="'Visual Psychometric Converter'!A1" display="Visual Psychometric Converter" xr:uid="{00000000-0004-0000-0000-000002000000}"/>
    <hyperlink ref="B26" location="'TBI Severity'!A1" display="TBI Severity" xr:uid="{00000000-0004-0000-0000-000003000000}"/>
    <hyperlink ref="B30" location="HADS!A1" display="HADS" xr:uid="{00000000-0004-0000-0000-000004000000}"/>
    <hyperlink ref="B31" location="Hayling!A1" display="Hayling" xr:uid="{00000000-0004-0000-0000-000005000000}"/>
    <hyperlink ref="B32" location="'RBANS-A'!A1" display="RBANS-A" xr:uid="{00000000-0004-0000-0000-000006000000}"/>
    <hyperlink ref="B34" location="'RME Adult'!A1" display="RME Adult" xr:uid="{00000000-0004-0000-0000-000007000000}"/>
    <hyperlink ref="B36" location="'WMS-IV'!A1" display="WMS-IV" xr:uid="{00000000-0004-0000-0000-000008000000}"/>
    <hyperlink ref="B37" location="TOPF!A1" display="TOPF" xr:uid="{00000000-0004-0000-0000-000009000000}"/>
    <hyperlink ref="B33" location="'RBANS-A Effort Scale'!A1" display="RBANS-A-Effort Scale" xr:uid="{D73F18EA-188C-440D-8267-E0576AF71397}"/>
    <hyperlink ref="B29" location="'CORE-10'!A1" display="CORE-10" xr:uid="{1F735F71-F4B3-4024-9174-7F939A127C09}"/>
    <hyperlink ref="B28" location="ASRS!A1" display="ASRS" xr:uid="{5B30EEBF-8725-4802-9580-4CC67A5BF543}"/>
    <hyperlink ref="B27" location="'AQ50'!A1" display="AQ50" xr:uid="{B0DBBF59-D4F1-4281-B2C2-C233036DF2D3}"/>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9"/>
  <sheetViews>
    <sheetView showGridLines="0" workbookViewId="0">
      <pane ySplit="1" topLeftCell="A2" activePane="bottomLeft" state="frozen"/>
      <selection pane="bottomLeft" activeCell="I23" sqref="I23"/>
    </sheetView>
  </sheetViews>
  <sheetFormatPr defaultRowHeight="15" x14ac:dyDescent="0.25"/>
  <cols>
    <col min="1" max="1" width="37.140625" customWidth="1"/>
    <col min="2" max="8" width="14.28515625" customWidth="1"/>
    <col min="9" max="9" width="37.140625" customWidth="1"/>
  </cols>
  <sheetData>
    <row r="1" spans="1:13" ht="20.25" x14ac:dyDescent="0.3">
      <c r="A1" s="55" t="s">
        <v>185</v>
      </c>
      <c r="B1" s="2"/>
      <c r="C1" s="2"/>
      <c r="D1" s="2"/>
      <c r="E1" s="2"/>
      <c r="F1" s="2"/>
      <c r="G1" s="2"/>
      <c r="H1" s="2"/>
      <c r="I1" s="2"/>
      <c r="J1" s="2"/>
      <c r="K1" s="2"/>
      <c r="L1" s="2"/>
      <c r="M1" s="2"/>
    </row>
    <row r="3" spans="1:13" x14ac:dyDescent="0.25">
      <c r="A3" s="3" t="s">
        <v>205</v>
      </c>
      <c r="B3" s="4"/>
      <c r="C3" s="4"/>
      <c r="D3" s="4"/>
      <c r="H3" s="15" t="s">
        <v>206</v>
      </c>
      <c r="J3" t="s">
        <v>209</v>
      </c>
    </row>
    <row r="4" spans="1:13" x14ac:dyDescent="0.25">
      <c r="A4" s="3" t="s">
        <v>186</v>
      </c>
      <c r="B4" s="15"/>
      <c r="C4" s="15"/>
      <c r="D4" s="15"/>
    </row>
    <row r="5" spans="1:13" x14ac:dyDescent="0.25">
      <c r="A5" s="3" t="s">
        <v>187</v>
      </c>
      <c r="B5" s="15"/>
      <c r="C5" s="15"/>
      <c r="D5" s="15"/>
    </row>
    <row r="6" spans="1:13" x14ac:dyDescent="0.25">
      <c r="A6" s="3" t="s">
        <v>188</v>
      </c>
      <c r="B6" s="15"/>
      <c r="C6" s="15"/>
      <c r="D6" s="15"/>
    </row>
    <row r="7" spans="1:13" x14ac:dyDescent="0.25">
      <c r="A7" s="3"/>
      <c r="B7" s="5"/>
      <c r="C7" s="5"/>
      <c r="D7" s="5"/>
    </row>
    <row r="8" spans="1:13" x14ac:dyDescent="0.25">
      <c r="A8" s="279" t="s">
        <v>210</v>
      </c>
      <c r="B8" s="280"/>
      <c r="C8" s="280"/>
      <c r="D8" s="280"/>
      <c r="E8" s="280"/>
      <c r="F8" s="280"/>
      <c r="G8" s="281"/>
      <c r="H8" s="281"/>
      <c r="I8" s="282"/>
    </row>
    <row r="9" spans="1:13" x14ac:dyDescent="0.25">
      <c r="A9" s="49" t="s">
        <v>197</v>
      </c>
      <c r="B9" s="19" t="s">
        <v>179</v>
      </c>
      <c r="C9" s="19" t="s">
        <v>1</v>
      </c>
      <c r="D9" s="19" t="s">
        <v>2</v>
      </c>
      <c r="E9" s="19" t="s">
        <v>13</v>
      </c>
      <c r="F9" s="19" t="s">
        <v>71</v>
      </c>
      <c r="G9" s="19" t="s">
        <v>11</v>
      </c>
      <c r="H9" s="19" t="s">
        <v>12</v>
      </c>
      <c r="I9" s="19" t="s">
        <v>199</v>
      </c>
    </row>
    <row r="10" spans="1:13" x14ac:dyDescent="0.25">
      <c r="A10" s="64" t="s">
        <v>192</v>
      </c>
      <c r="B10" s="63">
        <v>16</v>
      </c>
      <c r="C10" s="61">
        <v>6.96</v>
      </c>
      <c r="D10" s="61">
        <v>4.1900000000000004</v>
      </c>
      <c r="E10" s="65">
        <f>(B10-C10)/D10</f>
        <v>2.157517899761336</v>
      </c>
      <c r="F10" s="66">
        <f>(E10*10)+50</f>
        <v>71.575178997613364</v>
      </c>
      <c r="G10" s="66">
        <f>(E10*15)+100</f>
        <v>132.36276849642005</v>
      </c>
      <c r="H10" s="66">
        <f>NORMSDIST(E10)*100</f>
        <v>98.451733301404559</v>
      </c>
      <c r="I10" s="25"/>
    </row>
    <row r="11" spans="1:13" x14ac:dyDescent="0.25">
      <c r="A11" s="25" t="s">
        <v>193</v>
      </c>
      <c r="B11" s="50">
        <v>7</v>
      </c>
      <c r="C11" s="61">
        <v>6.96</v>
      </c>
      <c r="D11" s="61">
        <v>4.1900000000000004</v>
      </c>
      <c r="E11" s="61">
        <f t="shared" ref="E11:E14" si="0">(B11-C11)/D11</f>
        <v>9.5465393794749477E-3</v>
      </c>
      <c r="F11" s="62">
        <f t="shared" ref="F11:F14" si="1">(E11*10)+50</f>
        <v>50.095465393794747</v>
      </c>
      <c r="G11" s="62">
        <f t="shared" ref="G11:G14" si="2">(E11*15)+100</f>
        <v>100.14319809069212</v>
      </c>
      <c r="H11" s="62">
        <f t="shared" ref="H11:H14" si="3">NORMSDIST(E11)*100</f>
        <v>50.380846034166552</v>
      </c>
      <c r="I11" s="51" t="s">
        <v>200</v>
      </c>
    </row>
    <row r="12" spans="1:13" x14ac:dyDescent="0.25">
      <c r="A12" s="25" t="s">
        <v>194</v>
      </c>
      <c r="B12" s="50">
        <v>10</v>
      </c>
      <c r="C12" s="61">
        <v>6.96</v>
      </c>
      <c r="D12" s="61">
        <v>4.1900000000000004</v>
      </c>
      <c r="E12" s="61">
        <f t="shared" si="0"/>
        <v>0.72553699284009543</v>
      </c>
      <c r="F12" s="62">
        <f t="shared" si="1"/>
        <v>57.255369928400953</v>
      </c>
      <c r="G12" s="62">
        <f t="shared" si="2"/>
        <v>110.88305489260144</v>
      </c>
      <c r="H12" s="62">
        <f t="shared" si="3"/>
        <v>76.59386705231293</v>
      </c>
      <c r="I12" s="51" t="s">
        <v>201</v>
      </c>
    </row>
    <row r="13" spans="1:13" x14ac:dyDescent="0.25">
      <c r="A13" s="25" t="s">
        <v>195</v>
      </c>
      <c r="B13" s="50">
        <v>14</v>
      </c>
      <c r="C13" s="61">
        <v>6.96</v>
      </c>
      <c r="D13" s="61">
        <v>4.1900000000000004</v>
      </c>
      <c r="E13" s="61">
        <f t="shared" si="0"/>
        <v>1.6801909307875893</v>
      </c>
      <c r="F13" s="62">
        <f t="shared" si="1"/>
        <v>66.801909307875889</v>
      </c>
      <c r="G13" s="62">
        <f t="shared" si="2"/>
        <v>125.20286396181385</v>
      </c>
      <c r="H13" s="62">
        <f t="shared" si="3"/>
        <v>95.353991333782602</v>
      </c>
      <c r="I13" s="51" t="s">
        <v>202</v>
      </c>
    </row>
    <row r="14" spans="1:13" x14ac:dyDescent="0.25">
      <c r="A14" s="25" t="s">
        <v>196</v>
      </c>
      <c r="B14" s="50">
        <v>21</v>
      </c>
      <c r="C14" s="61">
        <v>6.96</v>
      </c>
      <c r="D14" s="61">
        <v>4.1900000000000004</v>
      </c>
      <c r="E14" s="61">
        <f t="shared" si="0"/>
        <v>3.3508353221957035</v>
      </c>
      <c r="F14" s="62">
        <f t="shared" si="1"/>
        <v>83.508353221957037</v>
      </c>
      <c r="G14" s="62">
        <f t="shared" si="2"/>
        <v>150.26252983293554</v>
      </c>
      <c r="H14" s="62">
        <f t="shared" si="3"/>
        <v>99.959715900490593</v>
      </c>
      <c r="I14" s="51" t="s">
        <v>203</v>
      </c>
    </row>
    <row r="15" spans="1:13" x14ac:dyDescent="0.25">
      <c r="A15" s="283"/>
      <c r="B15" s="281"/>
      <c r="C15" s="281"/>
      <c r="D15" s="281"/>
      <c r="E15" s="281"/>
      <c r="F15" s="281"/>
      <c r="G15" s="281"/>
      <c r="H15" s="281"/>
      <c r="I15" s="282"/>
    </row>
    <row r="16" spans="1:13" x14ac:dyDescent="0.25">
      <c r="A16" s="49" t="s">
        <v>198</v>
      </c>
      <c r="B16" s="19" t="s">
        <v>179</v>
      </c>
      <c r="C16" s="19" t="s">
        <v>1</v>
      </c>
      <c r="D16" s="19" t="s">
        <v>2</v>
      </c>
      <c r="E16" s="19" t="s">
        <v>13</v>
      </c>
      <c r="F16" s="19" t="s">
        <v>71</v>
      </c>
      <c r="G16" s="19" t="s">
        <v>11</v>
      </c>
      <c r="H16" s="19" t="s">
        <v>12</v>
      </c>
      <c r="I16" s="19" t="s">
        <v>199</v>
      </c>
    </row>
    <row r="17" spans="1:9" x14ac:dyDescent="0.25">
      <c r="A17" s="64" t="s">
        <v>191</v>
      </c>
      <c r="B17" s="63">
        <v>10</v>
      </c>
      <c r="C17" s="50">
        <v>3.81</v>
      </c>
      <c r="D17" s="59">
        <v>3.3</v>
      </c>
      <c r="E17" s="20">
        <f>(B17-C17)/D17</f>
        <v>1.8757575757575757</v>
      </c>
      <c r="F17" s="67">
        <f>(E17*10)+50</f>
        <v>68.757575757575751</v>
      </c>
      <c r="G17" s="67">
        <f>(E17*15)+100</f>
        <v>128.13636363636363</v>
      </c>
      <c r="H17" s="67">
        <f>NORMSDIST(E17)*100</f>
        <v>96.965571205177525</v>
      </c>
      <c r="I17" s="49"/>
    </row>
    <row r="18" spans="1:9" x14ac:dyDescent="0.25">
      <c r="A18" s="25" t="s">
        <v>193</v>
      </c>
      <c r="B18" s="50">
        <v>7</v>
      </c>
      <c r="C18" s="50">
        <v>3.81</v>
      </c>
      <c r="D18" s="59">
        <v>3.3</v>
      </c>
      <c r="E18" s="59">
        <f t="shared" ref="E18:E21" si="4">(B18-C18)/D18</f>
        <v>0.96666666666666667</v>
      </c>
      <c r="F18" s="60">
        <f t="shared" ref="F18:F21" si="5">(E18*10)+50</f>
        <v>59.666666666666664</v>
      </c>
      <c r="G18" s="60">
        <f t="shared" ref="G18:G21" si="6">(E18*15)+100</f>
        <v>114.5</v>
      </c>
      <c r="H18" s="60">
        <f t="shared" ref="H18:H21" si="7">NORMSDIST(E18)*100</f>
        <v>83.314465212821702</v>
      </c>
      <c r="I18" s="51" t="s">
        <v>201</v>
      </c>
    </row>
    <row r="19" spans="1:9" x14ac:dyDescent="0.25">
      <c r="A19" s="25" t="s">
        <v>194</v>
      </c>
      <c r="B19" s="50">
        <v>10</v>
      </c>
      <c r="C19" s="50">
        <v>3.81</v>
      </c>
      <c r="D19" s="59">
        <v>3.3</v>
      </c>
      <c r="E19" s="59">
        <f t="shared" si="4"/>
        <v>1.8757575757575757</v>
      </c>
      <c r="F19" s="60">
        <f t="shared" si="5"/>
        <v>68.757575757575751</v>
      </c>
      <c r="G19" s="60">
        <f t="shared" si="6"/>
        <v>128.13636363636363</v>
      </c>
      <c r="H19" s="60">
        <f t="shared" si="7"/>
        <v>96.965571205177525</v>
      </c>
      <c r="I19" s="51" t="s">
        <v>202</v>
      </c>
    </row>
    <row r="20" spans="1:9" x14ac:dyDescent="0.25">
      <c r="A20" s="25" t="s">
        <v>195</v>
      </c>
      <c r="B20" s="50">
        <v>14</v>
      </c>
      <c r="C20" s="50">
        <v>3.81</v>
      </c>
      <c r="D20" s="59">
        <v>3.3</v>
      </c>
      <c r="E20" s="59">
        <f t="shared" si="4"/>
        <v>3.0878787878787879</v>
      </c>
      <c r="F20" s="60">
        <f t="shared" si="5"/>
        <v>80.878787878787875</v>
      </c>
      <c r="G20" s="60">
        <f t="shared" si="6"/>
        <v>146.31818181818181</v>
      </c>
      <c r="H20" s="60">
        <f t="shared" si="7"/>
        <v>99.899204661214</v>
      </c>
      <c r="I20" s="51" t="s">
        <v>203</v>
      </c>
    </row>
    <row r="21" spans="1:9" x14ac:dyDescent="0.25">
      <c r="A21" s="25" t="s">
        <v>196</v>
      </c>
      <c r="B21" s="50">
        <v>21</v>
      </c>
      <c r="C21" s="50">
        <v>3.81</v>
      </c>
      <c r="D21" s="59">
        <v>3.3</v>
      </c>
      <c r="E21" s="59">
        <f t="shared" si="4"/>
        <v>5.2090909090909099</v>
      </c>
      <c r="F21" s="60">
        <f t="shared" si="5"/>
        <v>102.09090909090909</v>
      </c>
      <c r="G21" s="60">
        <f t="shared" si="6"/>
        <v>178.13636363636365</v>
      </c>
      <c r="H21" s="60">
        <f t="shared" si="7"/>
        <v>99.999990511593879</v>
      </c>
      <c r="I21" s="51" t="s">
        <v>203</v>
      </c>
    </row>
    <row r="22" spans="1:9" x14ac:dyDescent="0.25">
      <c r="A22" s="284"/>
      <c r="B22" s="281"/>
      <c r="C22" s="281"/>
      <c r="D22" s="281"/>
      <c r="E22" s="281"/>
      <c r="F22" s="281"/>
      <c r="G22" s="281"/>
      <c r="H22" s="281"/>
      <c r="I22" s="282"/>
    </row>
    <row r="23" spans="1:9" x14ac:dyDescent="0.25">
      <c r="B23" s="4"/>
      <c r="C23" s="4"/>
      <c r="D23" s="4"/>
      <c r="E23" s="6"/>
      <c r="F23" s="6"/>
    </row>
    <row r="24" spans="1:9" x14ac:dyDescent="0.25">
      <c r="A24" s="279" t="s">
        <v>211</v>
      </c>
      <c r="B24" s="280"/>
      <c r="C24" s="280"/>
      <c r="D24" s="280"/>
      <c r="E24" s="280"/>
      <c r="F24" s="280"/>
      <c r="G24" s="281"/>
      <c r="H24" s="281"/>
      <c r="I24" s="282"/>
    </row>
    <row r="25" spans="1:9" x14ac:dyDescent="0.25">
      <c r="A25" s="49" t="s">
        <v>189</v>
      </c>
      <c r="B25" s="19" t="s">
        <v>179</v>
      </c>
      <c r="C25" s="19" t="s">
        <v>1</v>
      </c>
      <c r="D25" s="19" t="s">
        <v>2</v>
      </c>
      <c r="E25" s="19" t="s">
        <v>13</v>
      </c>
      <c r="F25" s="19" t="s">
        <v>71</v>
      </c>
      <c r="G25" s="19" t="s">
        <v>11</v>
      </c>
      <c r="H25" s="19" t="s">
        <v>12</v>
      </c>
      <c r="I25" s="19" t="s">
        <v>199</v>
      </c>
    </row>
    <row r="26" spans="1:9" x14ac:dyDescent="0.25">
      <c r="A26" s="64" t="s">
        <v>192</v>
      </c>
      <c r="B26" s="63">
        <v>11</v>
      </c>
      <c r="C26" s="61">
        <v>5.67</v>
      </c>
      <c r="D26" s="61">
        <v>3.6</v>
      </c>
      <c r="E26" s="65">
        <f>(B26-C26)/D26</f>
        <v>1.4805555555555556</v>
      </c>
      <c r="F26" s="66">
        <f>(E26*10)+50</f>
        <v>64.805555555555557</v>
      </c>
      <c r="G26" s="66">
        <f>(E26*15)+100</f>
        <v>122.20833333333334</v>
      </c>
      <c r="H26" s="66">
        <f>NORMSDIST(E26)*100</f>
        <v>93.0637476919661</v>
      </c>
      <c r="I26" s="25"/>
    </row>
    <row r="27" spans="1:9" x14ac:dyDescent="0.25">
      <c r="A27" s="25" t="s">
        <v>193</v>
      </c>
      <c r="B27" s="50">
        <v>7</v>
      </c>
      <c r="C27" s="61">
        <v>5.67</v>
      </c>
      <c r="D27" s="61">
        <v>3.6</v>
      </c>
      <c r="E27" s="61">
        <f t="shared" ref="E27:E30" si="8">(B27-C27)/D27</f>
        <v>0.36944444444444446</v>
      </c>
      <c r="F27" s="62">
        <f t="shared" ref="F27:F30" si="9">(E27*10)+50</f>
        <v>53.694444444444443</v>
      </c>
      <c r="G27" s="62">
        <f t="shared" ref="G27:G30" si="10">(E27*15)+100</f>
        <v>105.54166666666667</v>
      </c>
      <c r="H27" s="62">
        <f t="shared" ref="H27:H30" si="11">NORMSDIST(E27)*100</f>
        <v>64.410176224916185</v>
      </c>
      <c r="I27" s="51" t="s">
        <v>204</v>
      </c>
    </row>
    <row r="28" spans="1:9" x14ac:dyDescent="0.25">
      <c r="A28" s="25" t="s">
        <v>194</v>
      </c>
      <c r="B28" s="50">
        <v>10</v>
      </c>
      <c r="C28" s="61">
        <v>5.67</v>
      </c>
      <c r="D28" s="61">
        <v>3.6</v>
      </c>
      <c r="E28" s="61">
        <f t="shared" si="8"/>
        <v>1.2027777777777777</v>
      </c>
      <c r="F28" s="62">
        <f t="shared" si="9"/>
        <v>62.027777777777779</v>
      </c>
      <c r="G28" s="62">
        <f t="shared" si="10"/>
        <v>118.04166666666666</v>
      </c>
      <c r="H28" s="62">
        <f t="shared" si="11"/>
        <v>88.54688367831848</v>
      </c>
      <c r="I28" s="51" t="s">
        <v>201</v>
      </c>
    </row>
    <row r="29" spans="1:9" x14ac:dyDescent="0.25">
      <c r="A29" s="25" t="s">
        <v>195</v>
      </c>
      <c r="B29" s="50">
        <v>14</v>
      </c>
      <c r="C29" s="61">
        <v>5.67</v>
      </c>
      <c r="D29" s="61">
        <v>3.6</v>
      </c>
      <c r="E29" s="61">
        <f t="shared" si="8"/>
        <v>2.3138888888888887</v>
      </c>
      <c r="F29" s="62">
        <f t="shared" si="9"/>
        <v>73.138888888888886</v>
      </c>
      <c r="G29" s="62">
        <f t="shared" si="10"/>
        <v>134.70833333333331</v>
      </c>
      <c r="H29" s="62">
        <f t="shared" si="11"/>
        <v>98.966309112176148</v>
      </c>
      <c r="I29" s="51" t="s">
        <v>203</v>
      </c>
    </row>
    <row r="30" spans="1:9" x14ac:dyDescent="0.25">
      <c r="A30" s="25" t="s">
        <v>196</v>
      </c>
      <c r="B30" s="50">
        <v>21</v>
      </c>
      <c r="C30" s="61">
        <v>5.67</v>
      </c>
      <c r="D30" s="61">
        <v>3.6</v>
      </c>
      <c r="E30" s="61">
        <f t="shared" si="8"/>
        <v>4.2583333333333329</v>
      </c>
      <c r="F30" s="62">
        <f t="shared" si="9"/>
        <v>92.583333333333329</v>
      </c>
      <c r="G30" s="62">
        <f t="shared" si="10"/>
        <v>163.875</v>
      </c>
      <c r="H30" s="62">
        <f t="shared" si="11"/>
        <v>99.998970216563663</v>
      </c>
      <c r="I30" s="51" t="s">
        <v>203</v>
      </c>
    </row>
    <row r="31" spans="1:9" x14ac:dyDescent="0.25">
      <c r="A31" s="283"/>
      <c r="B31" s="281"/>
      <c r="C31" s="281"/>
      <c r="D31" s="281"/>
      <c r="E31" s="281"/>
      <c r="F31" s="281"/>
      <c r="G31" s="281"/>
      <c r="H31" s="281"/>
      <c r="I31" s="282"/>
    </row>
    <row r="32" spans="1:9" x14ac:dyDescent="0.25">
      <c r="A32" s="49" t="s">
        <v>190</v>
      </c>
      <c r="B32" s="19" t="s">
        <v>179</v>
      </c>
      <c r="C32" s="19" t="s">
        <v>1</v>
      </c>
      <c r="D32" s="19" t="s">
        <v>2</v>
      </c>
      <c r="E32" s="19" t="s">
        <v>13</v>
      </c>
      <c r="F32" s="19" t="s">
        <v>71</v>
      </c>
      <c r="G32" s="19" t="s">
        <v>11</v>
      </c>
      <c r="H32" s="19" t="s">
        <v>12</v>
      </c>
      <c r="I32" s="19" t="s">
        <v>199</v>
      </c>
    </row>
    <row r="33" spans="1:9" x14ac:dyDescent="0.25">
      <c r="A33" s="64" t="s">
        <v>191</v>
      </c>
      <c r="B33" s="63">
        <v>6</v>
      </c>
      <c r="C33" s="50">
        <v>3.58</v>
      </c>
      <c r="D33" s="59">
        <v>2.98</v>
      </c>
      <c r="E33" s="20">
        <f>(B33-C33)/D33</f>
        <v>0.81208053691275162</v>
      </c>
      <c r="F33" s="67">
        <f>(E33*10)+50</f>
        <v>58.120805369127517</v>
      </c>
      <c r="G33" s="67">
        <f>(E33*15)+100</f>
        <v>112.18120805369128</v>
      </c>
      <c r="H33" s="67">
        <f>NORMSDIST(E33)*100</f>
        <v>79.162728979279379</v>
      </c>
      <c r="I33" s="25"/>
    </row>
    <row r="34" spans="1:9" x14ac:dyDescent="0.25">
      <c r="A34" s="25" t="s">
        <v>193</v>
      </c>
      <c r="B34" s="50">
        <v>7</v>
      </c>
      <c r="C34" s="50">
        <v>3.58</v>
      </c>
      <c r="D34" s="59">
        <v>2.98</v>
      </c>
      <c r="E34" s="59">
        <f t="shared" ref="E34:E37" si="12">(B34-C34)/D34</f>
        <v>1.1476510067114094</v>
      </c>
      <c r="F34" s="60">
        <f t="shared" ref="F34:F37" si="13">(E34*10)+50</f>
        <v>61.476510067114091</v>
      </c>
      <c r="G34" s="60">
        <f t="shared" ref="G34:G37" si="14">(E34*15)+100</f>
        <v>117.21476510067114</v>
      </c>
      <c r="H34" s="60">
        <f t="shared" ref="H34:H37" si="15">NORMSDIST(E34)*100</f>
        <v>87.444366792919269</v>
      </c>
      <c r="I34" s="51" t="s">
        <v>201</v>
      </c>
    </row>
    <row r="35" spans="1:9" x14ac:dyDescent="0.25">
      <c r="A35" s="25" t="s">
        <v>194</v>
      </c>
      <c r="B35" s="50">
        <v>10</v>
      </c>
      <c r="C35" s="50">
        <v>3.58</v>
      </c>
      <c r="D35" s="59">
        <v>2.98</v>
      </c>
      <c r="E35" s="59">
        <f t="shared" si="12"/>
        <v>2.1543624161073827</v>
      </c>
      <c r="F35" s="60">
        <f t="shared" si="13"/>
        <v>71.543624161073822</v>
      </c>
      <c r="G35" s="60">
        <f t="shared" si="14"/>
        <v>132.31543624161074</v>
      </c>
      <c r="H35" s="60">
        <f t="shared" si="15"/>
        <v>98.439411921391908</v>
      </c>
      <c r="I35" s="51" t="s">
        <v>203</v>
      </c>
    </row>
    <row r="36" spans="1:9" x14ac:dyDescent="0.25">
      <c r="A36" s="25" t="s">
        <v>195</v>
      </c>
      <c r="B36" s="50">
        <v>14</v>
      </c>
      <c r="C36" s="50">
        <v>3.58</v>
      </c>
      <c r="D36" s="59">
        <v>2.98</v>
      </c>
      <c r="E36" s="59">
        <f t="shared" si="12"/>
        <v>3.4966442953020134</v>
      </c>
      <c r="F36" s="60">
        <f t="shared" si="13"/>
        <v>84.966442953020135</v>
      </c>
      <c r="G36" s="60">
        <f t="shared" si="14"/>
        <v>152.4496644295302</v>
      </c>
      <c r="H36" s="60">
        <f t="shared" si="15"/>
        <v>99.976442519619994</v>
      </c>
      <c r="I36" s="51" t="s">
        <v>203</v>
      </c>
    </row>
    <row r="37" spans="1:9" x14ac:dyDescent="0.25">
      <c r="A37" s="25" t="s">
        <v>196</v>
      </c>
      <c r="B37" s="50">
        <v>21</v>
      </c>
      <c r="C37" s="50">
        <v>3.58</v>
      </c>
      <c r="D37" s="59">
        <v>2.98</v>
      </c>
      <c r="E37" s="59">
        <f t="shared" si="12"/>
        <v>5.8456375838926178</v>
      </c>
      <c r="F37" s="60">
        <f t="shared" si="13"/>
        <v>108.45637583892618</v>
      </c>
      <c r="G37" s="60">
        <f t="shared" si="14"/>
        <v>187.68456375838926</v>
      </c>
      <c r="H37" s="60">
        <f t="shared" si="15"/>
        <v>99.999999747684171</v>
      </c>
      <c r="I37" s="51" t="s">
        <v>203</v>
      </c>
    </row>
    <row r="38" spans="1:9" x14ac:dyDescent="0.25">
      <c r="A38" s="284"/>
      <c r="B38" s="281"/>
      <c r="C38" s="281"/>
      <c r="D38" s="281"/>
      <c r="E38" s="281"/>
      <c r="F38" s="281"/>
      <c r="G38" s="281"/>
      <c r="H38" s="281"/>
      <c r="I38" s="282"/>
    </row>
    <row r="41" spans="1:9" x14ac:dyDescent="0.25">
      <c r="C41" s="278"/>
      <c r="D41" s="278"/>
      <c r="E41" s="278"/>
      <c r="F41" s="278"/>
      <c r="G41" s="278"/>
      <c r="H41" s="278"/>
    </row>
    <row r="42" spans="1:9" x14ac:dyDescent="0.25">
      <c r="C42" s="17"/>
      <c r="E42" s="3"/>
      <c r="G42" s="17"/>
    </row>
    <row r="43" spans="1:9" x14ac:dyDescent="0.25">
      <c r="C43" s="18"/>
      <c r="G43" s="18"/>
    </row>
    <row r="44" spans="1:9" x14ac:dyDescent="0.25">
      <c r="C44" s="18"/>
      <c r="G44" s="18"/>
    </row>
    <row r="45" spans="1:9" x14ac:dyDescent="0.25">
      <c r="C45" s="18"/>
      <c r="G45" s="18"/>
    </row>
    <row r="46" spans="1:9" x14ac:dyDescent="0.25">
      <c r="C46" s="18"/>
      <c r="G46" s="18"/>
    </row>
    <row r="47" spans="1:9" x14ac:dyDescent="0.25">
      <c r="C47" s="18"/>
      <c r="G47" s="18"/>
    </row>
    <row r="48" spans="1:9" x14ac:dyDescent="0.25">
      <c r="C48" s="18"/>
      <c r="G48" s="18"/>
    </row>
    <row r="49" spans="3:7" x14ac:dyDescent="0.25">
      <c r="C49" s="18"/>
      <c r="G49" s="18"/>
    </row>
  </sheetData>
  <mergeCells count="7">
    <mergeCell ref="C41:H41"/>
    <mergeCell ref="A8:I8"/>
    <mergeCell ref="A15:I15"/>
    <mergeCell ref="A22:I22"/>
    <mergeCell ref="A24:I24"/>
    <mergeCell ref="A31:I31"/>
    <mergeCell ref="A38:I38"/>
  </mergeCells>
  <hyperlinks>
    <hyperlink ref="H3" r:id="rId1" xr:uid="{00000000-0004-0000-0600-000000000000}"/>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showGridLines="0" topLeftCell="B1" workbookViewId="0">
      <pane ySplit="1" topLeftCell="A2" activePane="bottomLeft" state="frozen"/>
      <selection pane="bottomLeft" activeCell="I17" sqref="I17"/>
    </sheetView>
  </sheetViews>
  <sheetFormatPr defaultRowHeight="15" x14ac:dyDescent="0.25"/>
  <cols>
    <col min="1" max="1" width="3.5703125" customWidth="1"/>
    <col min="2" max="2" width="28.140625" customWidth="1"/>
    <col min="8" max="10" width="15.7109375" customWidth="1"/>
    <col min="11" max="11" width="77.5703125" customWidth="1"/>
  </cols>
  <sheetData>
    <row r="1" spans="1:11" ht="20.25" x14ac:dyDescent="0.3">
      <c r="A1" s="2"/>
      <c r="B1" s="55" t="s">
        <v>93</v>
      </c>
      <c r="C1" s="2"/>
      <c r="D1" s="2"/>
      <c r="E1" s="2"/>
      <c r="F1" s="2"/>
      <c r="G1" s="2"/>
      <c r="H1" s="2"/>
      <c r="I1" s="2"/>
      <c r="J1" s="2"/>
    </row>
    <row r="4" spans="1:11" ht="45" x14ac:dyDescent="0.25">
      <c r="B4" s="54" t="s">
        <v>67</v>
      </c>
      <c r="C4" s="54" t="s">
        <v>153</v>
      </c>
      <c r="D4" s="54" t="s">
        <v>151</v>
      </c>
      <c r="E4" s="54" t="s">
        <v>150</v>
      </c>
      <c r="F4" s="19" t="s">
        <v>13</v>
      </c>
      <c r="G4" s="19" t="s">
        <v>71</v>
      </c>
      <c r="H4" s="19" t="s">
        <v>72</v>
      </c>
      <c r="I4" s="19" t="s">
        <v>11</v>
      </c>
      <c r="J4" s="20" t="s">
        <v>12</v>
      </c>
      <c r="K4" s="19" t="s">
        <v>16</v>
      </c>
    </row>
    <row r="5" spans="1:11" x14ac:dyDescent="0.25">
      <c r="B5" s="21" t="s">
        <v>154</v>
      </c>
      <c r="C5" s="23">
        <v>3.5</v>
      </c>
      <c r="D5" s="23">
        <v>5.5</v>
      </c>
      <c r="E5" s="23">
        <v>2</v>
      </c>
      <c r="F5" s="23">
        <f t="shared" ref="F5:F9" si="0">(C5-D5)/E5</f>
        <v>-1</v>
      </c>
      <c r="G5" s="23">
        <f t="shared" ref="G5:G9" si="1">F5*10+50</f>
        <v>40</v>
      </c>
      <c r="H5" s="23">
        <f t="shared" ref="H5:H9" si="2">F5*3+10</f>
        <v>7</v>
      </c>
      <c r="I5" s="23">
        <f t="shared" ref="I5:I9" si="3">F5*15+100</f>
        <v>85</v>
      </c>
      <c r="J5" s="53">
        <f t="shared" ref="J5:J9" si="4">NORMSDIST(F5)*100</f>
        <v>15.865525393145699</v>
      </c>
      <c r="K5" s="199"/>
    </row>
    <row r="6" spans="1:11" ht="30" customHeight="1" x14ac:dyDescent="0.25">
      <c r="B6" s="25" t="s">
        <v>94</v>
      </c>
      <c r="C6" s="77">
        <v>4</v>
      </c>
      <c r="D6" s="23">
        <v>5.5</v>
      </c>
      <c r="E6" s="23">
        <v>2</v>
      </c>
      <c r="F6" s="22">
        <f t="shared" si="0"/>
        <v>-0.75</v>
      </c>
      <c r="G6" s="22">
        <f t="shared" si="1"/>
        <v>42.5</v>
      </c>
      <c r="H6" s="22">
        <f t="shared" si="2"/>
        <v>7.75</v>
      </c>
      <c r="I6" s="22">
        <f t="shared" si="3"/>
        <v>88.75</v>
      </c>
      <c r="J6" s="116">
        <f t="shared" si="4"/>
        <v>22.662735237686821</v>
      </c>
      <c r="K6" s="212" t="s">
        <v>278</v>
      </c>
    </row>
    <row r="7" spans="1:11" ht="30" customHeight="1" x14ac:dyDescent="0.25">
      <c r="B7" s="25" t="s">
        <v>95</v>
      </c>
      <c r="C7" s="77">
        <v>6</v>
      </c>
      <c r="D7" s="23">
        <v>5.5</v>
      </c>
      <c r="E7" s="23">
        <v>2</v>
      </c>
      <c r="F7" s="22">
        <f t="shared" si="0"/>
        <v>0.25</v>
      </c>
      <c r="G7" s="22">
        <f t="shared" si="1"/>
        <v>52.5</v>
      </c>
      <c r="H7" s="22">
        <f t="shared" si="2"/>
        <v>10.75</v>
      </c>
      <c r="I7" s="22">
        <f t="shared" si="3"/>
        <v>103.75</v>
      </c>
      <c r="J7" s="116">
        <f t="shared" si="4"/>
        <v>59.870632568292372</v>
      </c>
      <c r="K7" s="212" t="s">
        <v>278</v>
      </c>
    </row>
    <row r="8" spans="1:11" ht="30" customHeight="1" x14ac:dyDescent="0.25">
      <c r="B8" s="25" t="s">
        <v>96</v>
      </c>
      <c r="C8" s="77">
        <v>5</v>
      </c>
      <c r="D8" s="23">
        <v>5.5</v>
      </c>
      <c r="E8" s="23">
        <v>2</v>
      </c>
      <c r="F8" s="22">
        <f t="shared" si="0"/>
        <v>-0.25</v>
      </c>
      <c r="G8" s="22">
        <f t="shared" si="1"/>
        <v>47.5</v>
      </c>
      <c r="H8" s="22">
        <f t="shared" si="2"/>
        <v>9.25</v>
      </c>
      <c r="I8" s="22">
        <f t="shared" si="3"/>
        <v>96.25</v>
      </c>
      <c r="J8" s="116">
        <f t="shared" si="4"/>
        <v>40.129367431707628</v>
      </c>
      <c r="K8" s="25" t="s">
        <v>275</v>
      </c>
    </row>
    <row r="9" spans="1:11" ht="30" customHeight="1" x14ac:dyDescent="0.25">
      <c r="B9" s="25" t="s">
        <v>280</v>
      </c>
      <c r="C9" s="77">
        <v>5</v>
      </c>
      <c r="D9" s="23">
        <v>5.5</v>
      </c>
      <c r="E9" s="23">
        <v>2</v>
      </c>
      <c r="F9" s="22">
        <f t="shared" si="0"/>
        <v>-0.25</v>
      </c>
      <c r="G9" s="22">
        <f t="shared" si="1"/>
        <v>47.5</v>
      </c>
      <c r="H9" s="22">
        <f t="shared" si="2"/>
        <v>9.25</v>
      </c>
      <c r="I9" s="22">
        <f t="shared" si="3"/>
        <v>96.25</v>
      </c>
      <c r="J9" s="116">
        <f t="shared" si="4"/>
        <v>40.129367431707628</v>
      </c>
      <c r="K9" s="25" t="s">
        <v>279</v>
      </c>
    </row>
    <row r="11" spans="1:11" ht="21" x14ac:dyDescent="0.35">
      <c r="B11" s="285" t="s">
        <v>276</v>
      </c>
      <c r="C11" s="286"/>
      <c r="D11" s="286"/>
      <c r="E11" s="286"/>
      <c r="F11" s="286"/>
      <c r="G11" s="286"/>
      <c r="H11" s="286"/>
    </row>
    <row r="12" spans="1:11" x14ac:dyDescent="0.25">
      <c r="B12" s="202" t="s">
        <v>11</v>
      </c>
      <c r="C12" s="203" t="s">
        <v>35</v>
      </c>
      <c r="D12" s="164"/>
      <c r="E12" s="204"/>
      <c r="F12" s="205" t="s">
        <v>36</v>
      </c>
      <c r="G12" s="164"/>
      <c r="H12" s="204"/>
      <c r="J12" s="17"/>
    </row>
    <row r="13" spans="1:11" x14ac:dyDescent="0.25">
      <c r="B13" s="200" t="s">
        <v>37</v>
      </c>
      <c r="C13" s="75" t="s">
        <v>38</v>
      </c>
      <c r="E13" s="71"/>
      <c r="F13" s="70" t="s">
        <v>39</v>
      </c>
      <c r="H13" s="71"/>
      <c r="J13" s="18"/>
    </row>
    <row r="14" spans="1:11" x14ac:dyDescent="0.25">
      <c r="B14" s="200" t="s">
        <v>40</v>
      </c>
      <c r="C14" s="75" t="s">
        <v>41</v>
      </c>
      <c r="E14" s="71"/>
      <c r="F14" s="70" t="s">
        <v>42</v>
      </c>
      <c r="H14" s="71"/>
      <c r="J14" s="18"/>
    </row>
    <row r="15" spans="1:11" x14ac:dyDescent="0.25">
      <c r="B15" s="200" t="s">
        <v>43</v>
      </c>
      <c r="C15" s="75" t="s">
        <v>44</v>
      </c>
      <c r="E15" s="71"/>
      <c r="F15" s="70" t="s">
        <v>45</v>
      </c>
      <c r="H15" s="71"/>
      <c r="J15" s="18"/>
    </row>
    <row r="16" spans="1:11" x14ac:dyDescent="0.25">
      <c r="B16" s="200" t="s">
        <v>46</v>
      </c>
      <c r="C16" s="75" t="s">
        <v>47</v>
      </c>
      <c r="E16" s="71"/>
      <c r="F16" s="70" t="s">
        <v>48</v>
      </c>
      <c r="H16" s="71"/>
      <c r="J16" s="18"/>
    </row>
    <row r="17" spans="2:10" x14ac:dyDescent="0.25">
      <c r="B17" s="200" t="s">
        <v>49</v>
      </c>
      <c r="C17" s="75" t="s">
        <v>50</v>
      </c>
      <c r="E17" s="71"/>
      <c r="F17" s="70" t="s">
        <v>51</v>
      </c>
      <c r="H17" s="71"/>
      <c r="J17" s="18"/>
    </row>
    <row r="18" spans="2:10" x14ac:dyDescent="0.25">
      <c r="B18" s="200" t="s">
        <v>52</v>
      </c>
      <c r="C18" s="75" t="s">
        <v>53</v>
      </c>
      <c r="E18" s="71"/>
      <c r="F18" s="70" t="s">
        <v>54</v>
      </c>
      <c r="H18" s="71"/>
      <c r="J18" s="18"/>
    </row>
    <row r="19" spans="2:10" x14ac:dyDescent="0.25">
      <c r="B19" s="201" t="s">
        <v>55</v>
      </c>
      <c r="C19" s="76" t="s">
        <v>56</v>
      </c>
      <c r="D19" s="114"/>
      <c r="E19" s="73"/>
      <c r="F19" s="72" t="s">
        <v>57</v>
      </c>
      <c r="G19" s="114"/>
      <c r="H19" s="73"/>
      <c r="J19" s="18"/>
    </row>
    <row r="21" spans="2:10" ht="21" x14ac:dyDescent="0.35">
      <c r="B21" s="285" t="s">
        <v>98</v>
      </c>
      <c r="C21" s="285"/>
      <c r="D21" s="285"/>
      <c r="E21" s="285"/>
      <c r="F21" s="285"/>
      <c r="G21" s="285"/>
      <c r="H21" s="290"/>
    </row>
    <row r="22" spans="2:10" ht="30.75" customHeight="1" x14ac:dyDescent="0.25">
      <c r="B22" s="27" t="s">
        <v>99</v>
      </c>
      <c r="C22" s="291" t="s">
        <v>100</v>
      </c>
      <c r="D22" s="292"/>
      <c r="E22" s="293" t="s">
        <v>36</v>
      </c>
      <c r="F22" s="293"/>
      <c r="G22" s="293"/>
      <c r="H22" s="289"/>
    </row>
    <row r="23" spans="2:10" x14ac:dyDescent="0.25">
      <c r="B23" s="28" t="s">
        <v>94</v>
      </c>
      <c r="C23" s="287" t="s">
        <v>277</v>
      </c>
      <c r="D23" s="288"/>
      <c r="E23" s="289" t="s">
        <v>101</v>
      </c>
      <c r="F23" s="289"/>
      <c r="G23" s="289"/>
      <c r="H23" s="289"/>
    </row>
    <row r="24" spans="2:10" x14ac:dyDescent="0.25">
      <c r="B24" s="28" t="s">
        <v>95</v>
      </c>
      <c r="C24" s="287" t="s">
        <v>102</v>
      </c>
      <c r="D24" s="288"/>
      <c r="E24" s="289" t="s">
        <v>101</v>
      </c>
      <c r="F24" s="289"/>
      <c r="G24" s="289"/>
      <c r="H24" s="289"/>
    </row>
    <row r="25" spans="2:10" x14ac:dyDescent="0.25">
      <c r="B25" s="28" t="s">
        <v>96</v>
      </c>
      <c r="C25" s="287" t="s">
        <v>102</v>
      </c>
      <c r="D25" s="288"/>
      <c r="E25" s="289" t="s">
        <v>101</v>
      </c>
      <c r="F25" s="289"/>
      <c r="G25" s="289"/>
      <c r="H25" s="289"/>
    </row>
    <row r="26" spans="2:10" x14ac:dyDescent="0.25">
      <c r="B26" s="28" t="s">
        <v>97</v>
      </c>
      <c r="C26" s="287" t="s">
        <v>102</v>
      </c>
      <c r="D26" s="288"/>
      <c r="E26" s="289" t="s">
        <v>101</v>
      </c>
      <c r="F26" s="289"/>
      <c r="G26" s="289"/>
      <c r="H26" s="289"/>
    </row>
  </sheetData>
  <mergeCells count="12">
    <mergeCell ref="B11:H11"/>
    <mergeCell ref="C25:D25"/>
    <mergeCell ref="E25:H25"/>
    <mergeCell ref="C26:D26"/>
    <mergeCell ref="E26:H26"/>
    <mergeCell ref="B21:H21"/>
    <mergeCell ref="C22:D22"/>
    <mergeCell ref="E22:H22"/>
    <mergeCell ref="C23:D23"/>
    <mergeCell ref="E23:H23"/>
    <mergeCell ref="C24:D24"/>
    <mergeCell ref="E24:H24"/>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48"/>
  <sheetViews>
    <sheetView showGridLines="0" workbookViewId="0">
      <pane xSplit="1" ySplit="7" topLeftCell="B8" activePane="bottomRight" state="frozen"/>
      <selection pane="topRight" activeCell="B1" sqref="B1"/>
      <selection pane="bottomLeft" activeCell="A8" sqref="A8"/>
      <selection pane="bottomRight" activeCell="X13" sqref="X13"/>
    </sheetView>
  </sheetViews>
  <sheetFormatPr defaultColWidth="8.85546875" defaultRowHeight="11.25" x14ac:dyDescent="0.2"/>
  <cols>
    <col min="1" max="1" width="20.140625" style="30" customWidth="1"/>
    <col min="2" max="6" width="7.140625" style="30" customWidth="1"/>
    <col min="7" max="7" width="7.140625" style="140" customWidth="1"/>
    <col min="8" max="37" width="7.140625" style="30" customWidth="1"/>
    <col min="38" max="280" width="8.85546875" style="30"/>
    <col min="281" max="281" width="16" style="30" customWidth="1"/>
    <col min="282" max="293" width="5.28515625" style="30" customWidth="1"/>
    <col min="294" max="536" width="8.85546875" style="30"/>
    <col min="537" max="537" width="16" style="30" customWidth="1"/>
    <col min="538" max="549" width="5.28515625" style="30" customWidth="1"/>
    <col min="550" max="792" width="8.85546875" style="30"/>
    <col min="793" max="793" width="16" style="30" customWidth="1"/>
    <col min="794" max="805" width="5.28515625" style="30" customWidth="1"/>
    <col min="806" max="1048" width="8.85546875" style="30"/>
    <col min="1049" max="1049" width="16" style="30" customWidth="1"/>
    <col min="1050" max="1061" width="5.28515625" style="30" customWidth="1"/>
    <col min="1062" max="1304" width="8.85546875" style="30"/>
    <col min="1305" max="1305" width="16" style="30" customWidth="1"/>
    <col min="1306" max="1317" width="5.28515625" style="30" customWidth="1"/>
    <col min="1318" max="1560" width="8.85546875" style="30"/>
    <col min="1561" max="1561" width="16" style="30" customWidth="1"/>
    <col min="1562" max="1573" width="5.28515625" style="30" customWidth="1"/>
    <col min="1574" max="1816" width="8.85546875" style="30"/>
    <col min="1817" max="1817" width="16" style="30" customWidth="1"/>
    <col min="1818" max="1829" width="5.28515625" style="30" customWidth="1"/>
    <col min="1830" max="2072" width="8.85546875" style="30"/>
    <col min="2073" max="2073" width="16" style="30" customWidth="1"/>
    <col min="2074" max="2085" width="5.28515625" style="30" customWidth="1"/>
    <col min="2086" max="2328" width="8.85546875" style="30"/>
    <col min="2329" max="2329" width="16" style="30" customWidth="1"/>
    <col min="2330" max="2341" width="5.28515625" style="30" customWidth="1"/>
    <col min="2342" max="2584" width="8.85546875" style="30"/>
    <col min="2585" max="2585" width="16" style="30" customWidth="1"/>
    <col min="2586" max="2597" width="5.28515625" style="30" customWidth="1"/>
    <col min="2598" max="2840" width="8.85546875" style="30"/>
    <col min="2841" max="2841" width="16" style="30" customWidth="1"/>
    <col min="2842" max="2853" width="5.28515625" style="30" customWidth="1"/>
    <col min="2854" max="3096" width="8.85546875" style="30"/>
    <col min="3097" max="3097" width="16" style="30" customWidth="1"/>
    <col min="3098" max="3109" width="5.28515625" style="30" customWidth="1"/>
    <col min="3110" max="3352" width="8.85546875" style="30"/>
    <col min="3353" max="3353" width="16" style="30" customWidth="1"/>
    <col min="3354" max="3365" width="5.28515625" style="30" customWidth="1"/>
    <col min="3366" max="3608" width="8.85546875" style="30"/>
    <col min="3609" max="3609" width="16" style="30" customWidth="1"/>
    <col min="3610" max="3621" width="5.28515625" style="30" customWidth="1"/>
    <col min="3622" max="3864" width="8.85546875" style="30"/>
    <col min="3865" max="3865" width="16" style="30" customWidth="1"/>
    <col min="3866" max="3877" width="5.28515625" style="30" customWidth="1"/>
    <col min="3878" max="4120" width="8.85546875" style="30"/>
    <col min="4121" max="4121" width="16" style="30" customWidth="1"/>
    <col min="4122" max="4133" width="5.28515625" style="30" customWidth="1"/>
    <col min="4134" max="4376" width="8.85546875" style="30"/>
    <col min="4377" max="4377" width="16" style="30" customWidth="1"/>
    <col min="4378" max="4389" width="5.28515625" style="30" customWidth="1"/>
    <col min="4390" max="4632" width="8.85546875" style="30"/>
    <col min="4633" max="4633" width="16" style="30" customWidth="1"/>
    <col min="4634" max="4645" width="5.28515625" style="30" customWidth="1"/>
    <col min="4646" max="4888" width="8.85546875" style="30"/>
    <col min="4889" max="4889" width="16" style="30" customWidth="1"/>
    <col min="4890" max="4901" width="5.28515625" style="30" customWidth="1"/>
    <col min="4902" max="5144" width="8.85546875" style="30"/>
    <col min="5145" max="5145" width="16" style="30" customWidth="1"/>
    <col min="5146" max="5157" width="5.28515625" style="30" customWidth="1"/>
    <col min="5158" max="5400" width="8.85546875" style="30"/>
    <col min="5401" max="5401" width="16" style="30" customWidth="1"/>
    <col min="5402" max="5413" width="5.28515625" style="30" customWidth="1"/>
    <col min="5414" max="5656" width="8.85546875" style="30"/>
    <col min="5657" max="5657" width="16" style="30" customWidth="1"/>
    <col min="5658" max="5669" width="5.28515625" style="30" customWidth="1"/>
    <col min="5670" max="5912" width="8.85546875" style="30"/>
    <col min="5913" max="5913" width="16" style="30" customWidth="1"/>
    <col min="5914" max="5925" width="5.28515625" style="30" customWidth="1"/>
    <col min="5926" max="6168" width="8.85546875" style="30"/>
    <col min="6169" max="6169" width="16" style="30" customWidth="1"/>
    <col min="6170" max="6181" width="5.28515625" style="30" customWidth="1"/>
    <col min="6182" max="6424" width="8.85546875" style="30"/>
    <col min="6425" max="6425" width="16" style="30" customWidth="1"/>
    <col min="6426" max="6437" width="5.28515625" style="30" customWidth="1"/>
    <col min="6438" max="6680" width="8.85546875" style="30"/>
    <col min="6681" max="6681" width="16" style="30" customWidth="1"/>
    <col min="6682" max="6693" width="5.28515625" style="30" customWidth="1"/>
    <col min="6694" max="6936" width="8.85546875" style="30"/>
    <col min="6937" max="6937" width="16" style="30" customWidth="1"/>
    <col min="6938" max="6949" width="5.28515625" style="30" customWidth="1"/>
    <col min="6950" max="7192" width="8.85546875" style="30"/>
    <col min="7193" max="7193" width="16" style="30" customWidth="1"/>
    <col min="7194" max="7205" width="5.28515625" style="30" customWidth="1"/>
    <col min="7206" max="7448" width="8.85546875" style="30"/>
    <col min="7449" max="7449" width="16" style="30" customWidth="1"/>
    <col min="7450" max="7461" width="5.28515625" style="30" customWidth="1"/>
    <col min="7462" max="7704" width="8.85546875" style="30"/>
    <col min="7705" max="7705" width="16" style="30" customWidth="1"/>
    <col min="7706" max="7717" width="5.28515625" style="30" customWidth="1"/>
    <col min="7718" max="7960" width="8.85546875" style="30"/>
    <col min="7961" max="7961" width="16" style="30" customWidth="1"/>
    <col min="7962" max="7973" width="5.28515625" style="30" customWidth="1"/>
    <col min="7974" max="8216" width="8.85546875" style="30"/>
    <col min="8217" max="8217" width="16" style="30" customWidth="1"/>
    <col min="8218" max="8229" width="5.28515625" style="30" customWidth="1"/>
    <col min="8230" max="8472" width="8.85546875" style="30"/>
    <col min="8473" max="8473" width="16" style="30" customWidth="1"/>
    <col min="8474" max="8485" width="5.28515625" style="30" customWidth="1"/>
    <col min="8486" max="8728" width="8.85546875" style="30"/>
    <col min="8729" max="8729" width="16" style="30" customWidth="1"/>
    <col min="8730" max="8741" width="5.28515625" style="30" customWidth="1"/>
    <col min="8742" max="8984" width="8.85546875" style="30"/>
    <col min="8985" max="8985" width="16" style="30" customWidth="1"/>
    <col min="8986" max="8997" width="5.28515625" style="30" customWidth="1"/>
    <col min="8998" max="9240" width="8.85546875" style="30"/>
    <col min="9241" max="9241" width="16" style="30" customWidth="1"/>
    <col min="9242" max="9253" width="5.28515625" style="30" customWidth="1"/>
    <col min="9254" max="9496" width="8.85546875" style="30"/>
    <col min="9497" max="9497" width="16" style="30" customWidth="1"/>
    <col min="9498" max="9509" width="5.28515625" style="30" customWidth="1"/>
    <col min="9510" max="9752" width="8.85546875" style="30"/>
    <col min="9753" max="9753" width="16" style="30" customWidth="1"/>
    <col min="9754" max="9765" width="5.28515625" style="30" customWidth="1"/>
    <col min="9766" max="10008" width="8.85546875" style="30"/>
    <col min="10009" max="10009" width="16" style="30" customWidth="1"/>
    <col min="10010" max="10021" width="5.28515625" style="30" customWidth="1"/>
    <col min="10022" max="10264" width="8.85546875" style="30"/>
    <col min="10265" max="10265" width="16" style="30" customWidth="1"/>
    <col min="10266" max="10277" width="5.28515625" style="30" customWidth="1"/>
    <col min="10278" max="10520" width="8.85546875" style="30"/>
    <col min="10521" max="10521" width="16" style="30" customWidth="1"/>
    <col min="10522" max="10533" width="5.28515625" style="30" customWidth="1"/>
    <col min="10534" max="10776" width="8.85546875" style="30"/>
    <col min="10777" max="10777" width="16" style="30" customWidth="1"/>
    <col min="10778" max="10789" width="5.28515625" style="30" customWidth="1"/>
    <col min="10790" max="11032" width="8.85546875" style="30"/>
    <col min="11033" max="11033" width="16" style="30" customWidth="1"/>
    <col min="11034" max="11045" width="5.28515625" style="30" customWidth="1"/>
    <col min="11046" max="11288" width="8.85546875" style="30"/>
    <col min="11289" max="11289" width="16" style="30" customWidth="1"/>
    <col min="11290" max="11301" width="5.28515625" style="30" customWidth="1"/>
    <col min="11302" max="11544" width="8.85546875" style="30"/>
    <col min="11545" max="11545" width="16" style="30" customWidth="1"/>
    <col min="11546" max="11557" width="5.28515625" style="30" customWidth="1"/>
    <col min="11558" max="11800" width="8.85546875" style="30"/>
    <col min="11801" max="11801" width="16" style="30" customWidth="1"/>
    <col min="11802" max="11813" width="5.28515625" style="30" customWidth="1"/>
    <col min="11814" max="12056" width="8.85546875" style="30"/>
    <col min="12057" max="12057" width="16" style="30" customWidth="1"/>
    <col min="12058" max="12069" width="5.28515625" style="30" customWidth="1"/>
    <col min="12070" max="12312" width="8.85546875" style="30"/>
    <col min="12313" max="12313" width="16" style="30" customWidth="1"/>
    <col min="12314" max="12325" width="5.28515625" style="30" customWidth="1"/>
    <col min="12326" max="12568" width="8.85546875" style="30"/>
    <col min="12569" max="12569" width="16" style="30" customWidth="1"/>
    <col min="12570" max="12581" width="5.28515625" style="30" customWidth="1"/>
    <col min="12582" max="12824" width="8.85546875" style="30"/>
    <col min="12825" max="12825" width="16" style="30" customWidth="1"/>
    <col min="12826" max="12837" width="5.28515625" style="30" customWidth="1"/>
    <col min="12838" max="13080" width="8.85546875" style="30"/>
    <col min="13081" max="13081" width="16" style="30" customWidth="1"/>
    <col min="13082" max="13093" width="5.28515625" style="30" customWidth="1"/>
    <col min="13094" max="13336" width="8.85546875" style="30"/>
    <col min="13337" max="13337" width="16" style="30" customWidth="1"/>
    <col min="13338" max="13349" width="5.28515625" style="30" customWidth="1"/>
    <col min="13350" max="13592" width="8.85546875" style="30"/>
    <col min="13593" max="13593" width="16" style="30" customWidth="1"/>
    <col min="13594" max="13605" width="5.28515625" style="30" customWidth="1"/>
    <col min="13606" max="13848" width="8.85546875" style="30"/>
    <col min="13849" max="13849" width="16" style="30" customWidth="1"/>
    <col min="13850" max="13861" width="5.28515625" style="30" customWidth="1"/>
    <col min="13862" max="14104" width="8.85546875" style="30"/>
    <col min="14105" max="14105" width="16" style="30" customWidth="1"/>
    <col min="14106" max="14117" width="5.28515625" style="30" customWidth="1"/>
    <col min="14118" max="14360" width="8.85546875" style="30"/>
    <col min="14361" max="14361" width="16" style="30" customWidth="1"/>
    <col min="14362" max="14373" width="5.28515625" style="30" customWidth="1"/>
    <col min="14374" max="14616" width="8.85546875" style="30"/>
    <col min="14617" max="14617" width="16" style="30" customWidth="1"/>
    <col min="14618" max="14629" width="5.28515625" style="30" customWidth="1"/>
    <col min="14630" max="14872" width="8.85546875" style="30"/>
    <col min="14873" max="14873" width="16" style="30" customWidth="1"/>
    <col min="14874" max="14885" width="5.28515625" style="30" customWidth="1"/>
    <col min="14886" max="15128" width="8.85546875" style="30"/>
    <col min="15129" max="15129" width="16" style="30" customWidth="1"/>
    <col min="15130" max="15141" width="5.28515625" style="30" customWidth="1"/>
    <col min="15142" max="15384" width="8.85546875" style="30"/>
    <col min="15385" max="15385" width="16" style="30" customWidth="1"/>
    <col min="15386" max="15397" width="5.28515625" style="30" customWidth="1"/>
    <col min="15398" max="15640" width="8.85546875" style="30"/>
    <col min="15641" max="15641" width="16" style="30" customWidth="1"/>
    <col min="15642" max="15653" width="5.28515625" style="30" customWidth="1"/>
    <col min="15654" max="15896" width="8.85546875" style="30"/>
    <col min="15897" max="15897" width="16" style="30" customWidth="1"/>
    <col min="15898" max="15909" width="5.28515625" style="30" customWidth="1"/>
    <col min="15910" max="16152" width="8.85546875" style="30"/>
    <col min="16153" max="16153" width="16" style="30" customWidth="1"/>
    <col min="16154" max="16165" width="5.28515625" style="30" customWidth="1"/>
    <col min="16166" max="16384" width="8.85546875" style="30"/>
  </cols>
  <sheetData>
    <row r="1" spans="1:37" s="3" customFormat="1" ht="21" x14ac:dyDescent="0.35">
      <c r="A1" s="16" t="s">
        <v>152</v>
      </c>
      <c r="B1" s="29"/>
      <c r="C1" s="29"/>
      <c r="D1" s="29"/>
      <c r="E1" s="29"/>
      <c r="F1" s="29"/>
      <c r="G1" s="139"/>
      <c r="H1" s="29"/>
      <c r="I1" s="29"/>
      <c r="J1" s="29"/>
      <c r="K1" s="29"/>
      <c r="L1" s="29"/>
      <c r="M1" s="29"/>
      <c r="N1" s="29"/>
      <c r="O1" s="29"/>
      <c r="P1" s="29"/>
      <c r="Q1" s="29"/>
      <c r="R1" s="29"/>
      <c r="S1" s="29"/>
    </row>
    <row r="2" spans="1:37" ht="15" customHeight="1" x14ac:dyDescent="0.2"/>
    <row r="3" spans="1:37" ht="24" customHeight="1" x14ac:dyDescent="0.45">
      <c r="F3" s="31" t="s">
        <v>212</v>
      </c>
      <c r="M3" s="31"/>
    </row>
    <row r="4" spans="1:37" ht="15.75" customHeight="1" x14ac:dyDescent="0.25">
      <c r="A4" s="85" t="s">
        <v>106</v>
      </c>
      <c r="E4" s="32"/>
      <c r="G4" s="141"/>
      <c r="H4" s="34" t="s">
        <v>306</v>
      </c>
      <c r="I4" s="32"/>
      <c r="J4" s="32"/>
      <c r="K4" s="32"/>
      <c r="M4" s="33"/>
      <c r="N4" s="32"/>
      <c r="O4" s="32"/>
      <c r="P4" s="32"/>
      <c r="Q4" s="32"/>
      <c r="R4" s="32"/>
      <c r="S4" s="32"/>
      <c r="T4" s="32"/>
      <c r="U4" s="32"/>
      <c r="V4" s="32"/>
      <c r="W4" s="32"/>
      <c r="X4" s="32"/>
      <c r="Y4" s="32"/>
      <c r="Z4" s="32"/>
      <c r="AA4" s="32"/>
      <c r="AB4" s="32"/>
      <c r="AC4" s="32"/>
      <c r="AD4" s="32"/>
      <c r="AE4" s="32"/>
      <c r="AF4" s="32"/>
      <c r="AG4" s="32"/>
      <c r="AH4" s="32"/>
      <c r="AI4" s="32"/>
      <c r="AJ4" s="32"/>
      <c r="AK4" s="32"/>
    </row>
    <row r="5" spans="1:37" ht="15.75" customHeight="1" x14ac:dyDescent="0.25">
      <c r="A5" s="86" t="s">
        <v>107</v>
      </c>
      <c r="B5" s="18"/>
      <c r="C5" s="18"/>
      <c r="D5" s="18"/>
      <c r="E5" s="18"/>
      <c r="G5" s="37"/>
      <c r="H5" s="18"/>
      <c r="I5" s="18"/>
      <c r="J5" s="18"/>
      <c r="K5" s="18"/>
      <c r="M5" s="34"/>
      <c r="N5" s="34"/>
      <c r="O5" s="34"/>
      <c r="P5" s="34"/>
      <c r="Q5" s="34"/>
      <c r="R5" s="34"/>
      <c r="S5" s="34"/>
      <c r="T5" s="34"/>
      <c r="U5" s="34"/>
      <c r="V5" s="34"/>
      <c r="W5" s="34"/>
      <c r="X5" s="34"/>
      <c r="Y5" s="34"/>
      <c r="Z5" s="18"/>
      <c r="AA5" s="18"/>
      <c r="AB5" s="18"/>
      <c r="AC5" s="18"/>
      <c r="AD5" s="18"/>
      <c r="AE5" s="18"/>
      <c r="AF5" s="18"/>
      <c r="AG5" s="18"/>
      <c r="AH5" s="18"/>
      <c r="AI5" s="18"/>
      <c r="AJ5" s="18"/>
      <c r="AK5" s="18"/>
    </row>
    <row r="6" spans="1:37" s="35" customFormat="1" ht="15" x14ac:dyDescent="0.25">
      <c r="A6" s="87" t="s">
        <v>108</v>
      </c>
      <c r="B6" s="110" t="s">
        <v>109</v>
      </c>
      <c r="C6" s="111"/>
      <c r="D6" s="111"/>
      <c r="E6" s="111"/>
      <c r="F6" s="112"/>
      <c r="G6" s="142"/>
      <c r="H6" s="110" t="s">
        <v>110</v>
      </c>
      <c r="I6" s="111"/>
      <c r="J6" s="111"/>
      <c r="K6" s="111"/>
      <c r="L6" s="112"/>
      <c r="M6" s="111"/>
      <c r="N6" s="110" t="s">
        <v>111</v>
      </c>
      <c r="O6" s="111"/>
      <c r="P6" s="111"/>
      <c r="Q6" s="111"/>
      <c r="R6" s="112"/>
      <c r="S6" s="112"/>
    </row>
    <row r="7" spans="1:37" ht="15" x14ac:dyDescent="0.25">
      <c r="A7" s="17" t="s">
        <v>213</v>
      </c>
      <c r="B7" s="58" t="s">
        <v>115</v>
      </c>
      <c r="C7" s="58" t="s">
        <v>1</v>
      </c>
      <c r="D7" s="58" t="s">
        <v>2</v>
      </c>
      <c r="E7" s="58" t="s">
        <v>116</v>
      </c>
      <c r="F7" s="58" t="s">
        <v>117</v>
      </c>
      <c r="G7" s="143" t="s">
        <v>118</v>
      </c>
      <c r="H7" s="58" t="s">
        <v>115</v>
      </c>
      <c r="I7" s="58" t="s">
        <v>1</v>
      </c>
      <c r="J7" s="58" t="s">
        <v>2</v>
      </c>
      <c r="K7" s="58" t="s">
        <v>116</v>
      </c>
      <c r="L7" s="58" t="s">
        <v>117</v>
      </c>
      <c r="M7" s="58" t="s">
        <v>118</v>
      </c>
      <c r="N7" s="58" t="s">
        <v>115</v>
      </c>
      <c r="O7" s="58" t="s">
        <v>1</v>
      </c>
      <c r="P7" s="58" t="s">
        <v>2</v>
      </c>
      <c r="Q7" s="58" t="s">
        <v>116</v>
      </c>
      <c r="R7" s="56" t="s">
        <v>117</v>
      </c>
      <c r="S7" s="56" t="s">
        <v>118</v>
      </c>
    </row>
    <row r="8" spans="1:37" ht="15" x14ac:dyDescent="0.25">
      <c r="A8" s="17" t="s">
        <v>119</v>
      </c>
      <c r="B8" s="82">
        <v>30</v>
      </c>
      <c r="C8" s="78">
        <v>30.7</v>
      </c>
      <c r="D8" s="78">
        <v>4.3</v>
      </c>
      <c r="E8" s="107">
        <f>IF(ISBLANK(B8),"***",(B8-C8)/D8)</f>
        <v>-0.16279069767441845</v>
      </c>
      <c r="F8" s="94">
        <f>E8*15+100</f>
        <v>97.558139534883722</v>
      </c>
      <c r="G8" s="88">
        <f>NORMSDIST(E8)*100</f>
        <v>43.534161637316934</v>
      </c>
      <c r="H8" s="82">
        <v>23</v>
      </c>
      <c r="I8" s="78">
        <v>27.6</v>
      </c>
      <c r="J8" s="78">
        <v>4.4000000000000004</v>
      </c>
      <c r="K8" s="107">
        <f>IF(ISBLANK(H8),"***",(H8-I8)/J8)</f>
        <v>-1.0454545454545456</v>
      </c>
      <c r="L8" s="94">
        <f>K8*15+100</f>
        <v>84.318181818181813</v>
      </c>
      <c r="M8" s="88">
        <f>NORMSDIST(K8)*100</f>
        <v>14.790646911412653</v>
      </c>
      <c r="N8" s="91">
        <v>23</v>
      </c>
      <c r="O8" s="79">
        <v>27.5</v>
      </c>
      <c r="P8" s="79">
        <v>4.7</v>
      </c>
      <c r="Q8" s="108">
        <f t="shared" ref="Q8:Q15" si="0">IF(ISBLANK(N8),"***",(N8-O8)/P8)</f>
        <v>-0.95744680851063824</v>
      </c>
      <c r="R8" s="94">
        <f>Q8*15+100</f>
        <v>85.638297872340431</v>
      </c>
      <c r="S8" s="88">
        <f>NORMSDIST(Q8)*100</f>
        <v>16.917089100084521</v>
      </c>
    </row>
    <row r="9" spans="1:37" ht="15" x14ac:dyDescent="0.25">
      <c r="A9" s="17" t="s">
        <v>120</v>
      </c>
      <c r="B9" s="83">
        <v>13</v>
      </c>
      <c r="C9" s="79">
        <v>19.100000000000001</v>
      </c>
      <c r="D9" s="79">
        <v>3.3</v>
      </c>
      <c r="E9" s="108">
        <f t="shared" ref="E9:E19" si="1">IF(ISBLANK(B9),"***",(B9-C9)/D9)</f>
        <v>-1.8484848484848491</v>
      </c>
      <c r="F9" s="92">
        <f t="shared" ref="F9:F19" si="2">E9*15+100</f>
        <v>72.272727272727266</v>
      </c>
      <c r="G9" s="89">
        <f>NORMSDIST(E9)*100</f>
        <v>3.2266117130694423</v>
      </c>
      <c r="H9" s="83">
        <v>17</v>
      </c>
      <c r="I9" s="79">
        <v>16.899999999999999</v>
      </c>
      <c r="J9" s="79">
        <v>3.2</v>
      </c>
      <c r="K9" s="108">
        <f t="shared" ref="K9:K19" si="3">IF(ISBLANK(H9),"***",(H9-I9)/J9)</f>
        <v>3.1250000000000444E-2</v>
      </c>
      <c r="L9" s="92">
        <f t="shared" ref="L9:L19" si="4">K9*15+100</f>
        <v>100.46875</v>
      </c>
      <c r="M9" s="89">
        <f t="shared" ref="M9:M19" si="5">NORMSDIST(K9)*100</f>
        <v>51.246491743437737</v>
      </c>
      <c r="N9" s="91">
        <v>12</v>
      </c>
      <c r="O9" s="79">
        <v>17.5</v>
      </c>
      <c r="P9" s="79">
        <v>3.7</v>
      </c>
      <c r="Q9" s="108">
        <f t="shared" si="0"/>
        <v>-1.4864864864864864</v>
      </c>
      <c r="R9" s="92">
        <f t="shared" ref="R9:R19" si="6">Q9*15+100</f>
        <v>77.702702702702709</v>
      </c>
      <c r="S9" s="89">
        <f t="shared" ref="S9:S19" si="7">NORMSDIST(Q9)*100</f>
        <v>6.8575244326876801</v>
      </c>
    </row>
    <row r="10" spans="1:37" ht="15" x14ac:dyDescent="0.25">
      <c r="A10" s="17" t="s">
        <v>121</v>
      </c>
      <c r="B10" s="83">
        <v>19</v>
      </c>
      <c r="C10" s="79">
        <v>19.100000000000001</v>
      </c>
      <c r="D10" s="79">
        <v>1.3</v>
      </c>
      <c r="E10" s="108">
        <f t="shared" si="1"/>
        <v>-7.692307692307801E-2</v>
      </c>
      <c r="F10" s="92">
        <f t="shared" si="2"/>
        <v>98.846153846153825</v>
      </c>
      <c r="G10" s="89">
        <f t="shared" ref="G10:G19" si="8">NORMSDIST(E10)*100</f>
        <v>46.934236960338701</v>
      </c>
      <c r="H10" s="83">
        <v>17</v>
      </c>
      <c r="I10" s="79">
        <v>18.3</v>
      </c>
      <c r="J10" s="79">
        <v>1.4</v>
      </c>
      <c r="K10" s="108">
        <f t="shared" si="3"/>
        <v>-0.92857142857142916</v>
      </c>
      <c r="L10" s="92">
        <f t="shared" si="4"/>
        <v>86.071428571428555</v>
      </c>
      <c r="M10" s="89">
        <f t="shared" si="5"/>
        <v>17.655561725300263</v>
      </c>
      <c r="N10" s="91">
        <v>18</v>
      </c>
      <c r="O10" s="79">
        <v>18.2</v>
      </c>
      <c r="P10" s="79">
        <v>1.4</v>
      </c>
      <c r="Q10" s="108">
        <f t="shared" si="0"/>
        <v>-0.14285714285714235</v>
      </c>
      <c r="R10" s="92">
        <f t="shared" si="6"/>
        <v>97.857142857142861</v>
      </c>
      <c r="S10" s="89">
        <f t="shared" si="7"/>
        <v>44.3201503183532</v>
      </c>
    </row>
    <row r="11" spans="1:37" ht="15" x14ac:dyDescent="0.25">
      <c r="A11" s="17" t="s">
        <v>122</v>
      </c>
      <c r="B11" s="83">
        <v>19</v>
      </c>
      <c r="C11" s="79">
        <v>16.8</v>
      </c>
      <c r="D11" s="79">
        <v>3</v>
      </c>
      <c r="E11" s="108">
        <f t="shared" si="1"/>
        <v>0.73333333333333306</v>
      </c>
      <c r="F11" s="92">
        <f t="shared" si="2"/>
        <v>111</v>
      </c>
      <c r="G11" s="89">
        <f t="shared" si="8"/>
        <v>76.83224253652017</v>
      </c>
      <c r="H11" s="83">
        <v>20</v>
      </c>
      <c r="I11" s="79">
        <v>15.4</v>
      </c>
      <c r="J11" s="79">
        <v>3</v>
      </c>
      <c r="K11" s="108">
        <f t="shared" si="3"/>
        <v>1.5333333333333332</v>
      </c>
      <c r="L11" s="92">
        <f t="shared" si="4"/>
        <v>123</v>
      </c>
      <c r="M11" s="89">
        <f t="shared" si="5"/>
        <v>93.740312720909316</v>
      </c>
      <c r="N11" s="91">
        <v>20</v>
      </c>
      <c r="O11" s="79">
        <v>16.399999999999999</v>
      </c>
      <c r="P11" s="79">
        <v>2.9</v>
      </c>
      <c r="Q11" s="108">
        <f t="shared" si="0"/>
        <v>1.2413793103448281</v>
      </c>
      <c r="R11" s="92">
        <f t="shared" si="6"/>
        <v>118.62068965517241</v>
      </c>
      <c r="S11" s="89">
        <f t="shared" si="7"/>
        <v>89.276717073129475</v>
      </c>
    </row>
    <row r="12" spans="1:37" ht="15" x14ac:dyDescent="0.25">
      <c r="A12" s="17" t="s">
        <v>123</v>
      </c>
      <c r="B12" s="83">
        <v>10</v>
      </c>
      <c r="C12" s="79">
        <v>9.6</v>
      </c>
      <c r="D12" s="79">
        <v>0.7</v>
      </c>
      <c r="E12" s="108">
        <f t="shared" si="1"/>
        <v>0.57142857142857195</v>
      </c>
      <c r="F12" s="92">
        <f t="shared" si="2"/>
        <v>108.57142857142858</v>
      </c>
      <c r="G12" s="89">
        <f t="shared" si="8"/>
        <v>71.614541690132398</v>
      </c>
      <c r="H12" s="83">
        <v>10</v>
      </c>
      <c r="I12" s="79">
        <v>9.4</v>
      </c>
      <c r="J12" s="79">
        <v>1.1000000000000001</v>
      </c>
      <c r="K12" s="108">
        <f t="shared" si="3"/>
        <v>0.54545454545454508</v>
      </c>
      <c r="L12" s="92">
        <f t="shared" si="4"/>
        <v>108.18181818181817</v>
      </c>
      <c r="M12" s="89">
        <f t="shared" si="5"/>
        <v>70.727953271553631</v>
      </c>
      <c r="N12" s="91">
        <v>10</v>
      </c>
      <c r="O12" s="79">
        <v>9.4</v>
      </c>
      <c r="P12" s="79">
        <v>0.9</v>
      </c>
      <c r="Q12" s="108">
        <f t="shared" si="0"/>
        <v>0.6666666666666663</v>
      </c>
      <c r="R12" s="92">
        <f t="shared" si="6"/>
        <v>110</v>
      </c>
      <c r="S12" s="89">
        <f t="shared" si="7"/>
        <v>74.750746245307695</v>
      </c>
    </row>
    <row r="13" spans="1:37" ht="15" x14ac:dyDescent="0.25">
      <c r="A13" s="17" t="s">
        <v>124</v>
      </c>
      <c r="B13" s="83">
        <v>23</v>
      </c>
      <c r="C13" s="80">
        <v>21.6</v>
      </c>
      <c r="D13" s="80">
        <v>3.7</v>
      </c>
      <c r="E13" s="108">
        <f t="shared" si="1"/>
        <v>0.37837837837837796</v>
      </c>
      <c r="F13" s="92">
        <f t="shared" si="2"/>
        <v>105.67567567567566</v>
      </c>
      <c r="G13" s="89">
        <f t="shared" si="8"/>
        <v>64.742523605287246</v>
      </c>
      <c r="H13" s="83">
        <v>19</v>
      </c>
      <c r="I13" s="79">
        <v>20.8</v>
      </c>
      <c r="J13" s="79">
        <v>5</v>
      </c>
      <c r="K13" s="108">
        <f t="shared" si="3"/>
        <v>-0.36000000000000015</v>
      </c>
      <c r="L13" s="92">
        <f t="shared" si="4"/>
        <v>94.6</v>
      </c>
      <c r="M13" s="89">
        <f t="shared" si="5"/>
        <v>35.942356678200866</v>
      </c>
      <c r="N13" s="91">
        <v>15</v>
      </c>
      <c r="O13" s="79">
        <v>21</v>
      </c>
      <c r="P13" s="79">
        <v>5</v>
      </c>
      <c r="Q13" s="108">
        <f t="shared" si="0"/>
        <v>-1.2</v>
      </c>
      <c r="R13" s="92">
        <f t="shared" si="6"/>
        <v>82</v>
      </c>
      <c r="S13" s="89">
        <f t="shared" si="7"/>
        <v>11.506967022170828</v>
      </c>
    </row>
    <row r="14" spans="1:37" ht="15" x14ac:dyDescent="0.25">
      <c r="A14" s="17" t="s">
        <v>125</v>
      </c>
      <c r="B14" s="83">
        <v>11</v>
      </c>
      <c r="C14" s="80">
        <v>11.7</v>
      </c>
      <c r="D14" s="80">
        <v>2.5</v>
      </c>
      <c r="E14" s="108">
        <f t="shared" si="1"/>
        <v>-0.27999999999999969</v>
      </c>
      <c r="F14" s="92">
        <f t="shared" si="2"/>
        <v>95.800000000000011</v>
      </c>
      <c r="G14" s="89">
        <f t="shared" si="8"/>
        <v>38.973875244420285</v>
      </c>
      <c r="H14" s="83">
        <v>11</v>
      </c>
      <c r="I14" s="79">
        <v>10.6</v>
      </c>
      <c r="J14" s="79">
        <v>2.2000000000000002</v>
      </c>
      <c r="K14" s="108">
        <f t="shared" si="3"/>
        <v>0.18181818181818196</v>
      </c>
      <c r="L14" s="92">
        <f t="shared" si="4"/>
        <v>102.72727272727273</v>
      </c>
      <c r="M14" s="89">
        <f t="shared" si="5"/>
        <v>57.213729233996432</v>
      </c>
      <c r="N14" s="91">
        <v>14</v>
      </c>
      <c r="O14" s="79">
        <v>10.5</v>
      </c>
      <c r="P14" s="79">
        <v>2.4</v>
      </c>
      <c r="Q14" s="108">
        <f t="shared" si="0"/>
        <v>1.4583333333333335</v>
      </c>
      <c r="R14" s="92">
        <f t="shared" si="6"/>
        <v>121.875</v>
      </c>
      <c r="S14" s="89">
        <f t="shared" si="7"/>
        <v>92.762565669850233</v>
      </c>
    </row>
    <row r="15" spans="1:37" ht="15" x14ac:dyDescent="0.25">
      <c r="A15" s="17" t="s">
        <v>126</v>
      </c>
      <c r="B15" s="83">
        <v>50</v>
      </c>
      <c r="C15" s="80">
        <v>56.5</v>
      </c>
      <c r="D15" s="80">
        <v>8.8000000000000007</v>
      </c>
      <c r="E15" s="108">
        <f t="shared" si="1"/>
        <v>-0.73863636363636354</v>
      </c>
      <c r="F15" s="92">
        <f t="shared" si="2"/>
        <v>88.920454545454547</v>
      </c>
      <c r="G15" s="89">
        <f t="shared" si="8"/>
        <v>23.006391850321563</v>
      </c>
      <c r="H15" s="83">
        <v>26</v>
      </c>
      <c r="I15" s="79">
        <v>49.8</v>
      </c>
      <c r="J15" s="79">
        <v>8.1</v>
      </c>
      <c r="K15" s="108">
        <f t="shared" si="3"/>
        <v>-2.9382716049382713</v>
      </c>
      <c r="L15" s="92">
        <f t="shared" si="4"/>
        <v>55.925925925925931</v>
      </c>
      <c r="M15" s="89">
        <f t="shared" si="5"/>
        <v>0.16502387019939171</v>
      </c>
      <c r="N15" s="91">
        <v>44</v>
      </c>
      <c r="O15" s="79">
        <v>46.3</v>
      </c>
      <c r="P15" s="79">
        <v>8.9</v>
      </c>
      <c r="Q15" s="108">
        <f t="shared" si="0"/>
        <v>-0.25842696629213452</v>
      </c>
      <c r="R15" s="92">
        <f t="shared" si="6"/>
        <v>96.123595505617985</v>
      </c>
      <c r="S15" s="89">
        <f t="shared" si="7"/>
        <v>39.80387035704743</v>
      </c>
    </row>
    <row r="16" spans="1:37" ht="15" x14ac:dyDescent="0.25">
      <c r="A16" s="17" t="s">
        <v>127</v>
      </c>
      <c r="B16" s="83">
        <v>7</v>
      </c>
      <c r="C16" s="80">
        <v>7.5</v>
      </c>
      <c r="D16" s="80">
        <v>1.8</v>
      </c>
      <c r="E16" s="108">
        <f t="shared" si="1"/>
        <v>-0.27777777777777779</v>
      </c>
      <c r="F16" s="92">
        <f t="shared" si="2"/>
        <v>95.833333333333329</v>
      </c>
      <c r="G16" s="89">
        <f t="shared" si="8"/>
        <v>39.059147543357497</v>
      </c>
      <c r="H16" s="83">
        <v>1</v>
      </c>
      <c r="I16" s="79">
        <v>6.3</v>
      </c>
      <c r="J16" s="79">
        <v>1.9</v>
      </c>
      <c r="K16" s="108">
        <f t="shared" si="3"/>
        <v>-2.7894736842105265</v>
      </c>
      <c r="L16" s="92">
        <f t="shared" si="4"/>
        <v>58.157894736842103</v>
      </c>
      <c r="M16" s="89">
        <f t="shared" si="5"/>
        <v>0.26396893348161571</v>
      </c>
      <c r="N16" s="91">
        <v>1</v>
      </c>
      <c r="O16" s="79">
        <v>6</v>
      </c>
      <c r="P16" s="79">
        <v>2.1</v>
      </c>
      <c r="Q16" s="108">
        <f t="shared" ref="Q16:Q19" si="9">IF(ISBLANK(N16),"***",(N16-O16)/P16)</f>
        <v>-2.3809523809523809</v>
      </c>
      <c r="R16" s="92">
        <f t="shared" si="6"/>
        <v>64.285714285714278</v>
      </c>
      <c r="S16" s="89">
        <f t="shared" si="7"/>
        <v>0.86339719980878027</v>
      </c>
    </row>
    <row r="17" spans="1:25" ht="15" x14ac:dyDescent="0.25">
      <c r="A17" s="17" t="s">
        <v>128</v>
      </c>
      <c r="B17" s="83">
        <v>19</v>
      </c>
      <c r="C17" s="80">
        <v>19.8</v>
      </c>
      <c r="D17" s="80">
        <v>0.7</v>
      </c>
      <c r="E17" s="108">
        <f t="shared" si="1"/>
        <v>-1.1428571428571439</v>
      </c>
      <c r="F17" s="92">
        <f t="shared" si="2"/>
        <v>82.857142857142833</v>
      </c>
      <c r="G17" s="89">
        <f t="shared" si="8"/>
        <v>12.654895447355754</v>
      </c>
      <c r="H17" s="83">
        <v>17</v>
      </c>
      <c r="I17" s="79">
        <v>19.7</v>
      </c>
      <c r="J17" s="79">
        <v>0.6</v>
      </c>
      <c r="K17" s="108">
        <f t="shared" si="3"/>
        <v>-4.4999999999999991</v>
      </c>
      <c r="L17" s="92">
        <f t="shared" si="4"/>
        <v>32.500000000000014</v>
      </c>
      <c r="M17" s="89">
        <f t="shared" si="5"/>
        <v>3.3976731247300731E-4</v>
      </c>
      <c r="N17" s="91">
        <v>17</v>
      </c>
      <c r="O17" s="79">
        <v>19.5</v>
      </c>
      <c r="P17" s="79">
        <v>1</v>
      </c>
      <c r="Q17" s="108">
        <f t="shared" si="9"/>
        <v>-2.5</v>
      </c>
      <c r="R17" s="92">
        <f t="shared" si="6"/>
        <v>62.5</v>
      </c>
      <c r="S17" s="89">
        <f t="shared" si="7"/>
        <v>0.62096653257761336</v>
      </c>
    </row>
    <row r="18" spans="1:25" ht="15" x14ac:dyDescent="0.25">
      <c r="A18" s="17" t="s">
        <v>129</v>
      </c>
      <c r="B18" s="83">
        <v>5</v>
      </c>
      <c r="C18" s="80">
        <v>10.1</v>
      </c>
      <c r="D18" s="80">
        <v>2.1</v>
      </c>
      <c r="E18" s="108">
        <f t="shared" si="1"/>
        <v>-2.4285714285714284</v>
      </c>
      <c r="F18" s="92">
        <f t="shared" si="2"/>
        <v>63.571428571428577</v>
      </c>
      <c r="G18" s="89">
        <f t="shared" si="8"/>
        <v>0.75792194387197243</v>
      </c>
      <c r="H18" s="83">
        <v>2</v>
      </c>
      <c r="I18" s="79">
        <v>8.9</v>
      </c>
      <c r="J18" s="79">
        <v>1.8</v>
      </c>
      <c r="K18" s="108">
        <f t="shared" si="3"/>
        <v>-3.8333333333333335</v>
      </c>
      <c r="L18" s="92">
        <f t="shared" si="4"/>
        <v>42.5</v>
      </c>
      <c r="M18" s="89">
        <f t="shared" si="5"/>
        <v>6.3209231868402551E-3</v>
      </c>
      <c r="N18" s="91">
        <v>3</v>
      </c>
      <c r="O18" s="79">
        <v>9.1</v>
      </c>
      <c r="P18" s="79">
        <v>2.2000000000000002</v>
      </c>
      <c r="Q18" s="108">
        <f t="shared" si="9"/>
        <v>-2.7727272727272725</v>
      </c>
      <c r="R18" s="92">
        <f t="shared" si="6"/>
        <v>58.409090909090914</v>
      </c>
      <c r="S18" s="89">
        <f t="shared" si="7"/>
        <v>0.27794343576625058</v>
      </c>
    </row>
    <row r="19" spans="1:25" ht="15" x14ac:dyDescent="0.25">
      <c r="A19" s="36" t="s">
        <v>130</v>
      </c>
      <c r="B19" s="84">
        <v>17</v>
      </c>
      <c r="C19" s="81">
        <v>16.100000000000001</v>
      </c>
      <c r="D19" s="81">
        <v>2.9</v>
      </c>
      <c r="E19" s="109">
        <f t="shared" si="1"/>
        <v>0.31034482758620641</v>
      </c>
      <c r="F19" s="95">
        <f t="shared" si="2"/>
        <v>104.6551724137931</v>
      </c>
      <c r="G19" s="90">
        <f t="shared" si="8"/>
        <v>62.185062734805285</v>
      </c>
      <c r="H19" s="84">
        <v>5</v>
      </c>
      <c r="I19" s="96">
        <v>13.5</v>
      </c>
      <c r="J19" s="96">
        <v>3.3</v>
      </c>
      <c r="K19" s="109">
        <f t="shared" si="3"/>
        <v>-2.5757575757575757</v>
      </c>
      <c r="L19" s="95">
        <f t="shared" si="4"/>
        <v>61.363636363636367</v>
      </c>
      <c r="M19" s="90">
        <f t="shared" si="5"/>
        <v>0.5001037261248048</v>
      </c>
      <c r="N19" s="84">
        <v>8</v>
      </c>
      <c r="O19" s="96">
        <v>13.5</v>
      </c>
      <c r="P19" s="96">
        <v>3.3</v>
      </c>
      <c r="Q19" s="109">
        <f t="shared" si="9"/>
        <v>-1.6666666666666667</v>
      </c>
      <c r="R19" s="95">
        <f t="shared" si="6"/>
        <v>75</v>
      </c>
      <c r="S19" s="90">
        <f t="shared" si="7"/>
        <v>4.7790352272814705</v>
      </c>
    </row>
    <row r="20" spans="1:25" ht="15" x14ac:dyDescent="0.25">
      <c r="A20" s="17"/>
      <c r="B20" s="97"/>
      <c r="C20" s="97"/>
      <c r="D20" s="97"/>
      <c r="E20" s="98"/>
      <c r="F20" s="92"/>
      <c r="G20" s="93"/>
      <c r="H20" s="97"/>
      <c r="I20" s="97"/>
      <c r="J20" s="97"/>
      <c r="K20" s="98"/>
      <c r="L20" s="92"/>
      <c r="M20" s="93"/>
      <c r="N20" s="97"/>
      <c r="O20" s="97"/>
      <c r="P20" s="97"/>
      <c r="Q20" s="98"/>
      <c r="R20" s="92"/>
      <c r="S20" s="93"/>
    </row>
    <row r="21" spans="1:25" s="18" customFormat="1" ht="15" x14ac:dyDescent="0.25">
      <c r="A21" s="263"/>
      <c r="B21" s="110" t="s">
        <v>112</v>
      </c>
      <c r="C21" s="111"/>
      <c r="D21" s="111"/>
      <c r="E21" s="111"/>
      <c r="F21" s="112"/>
      <c r="G21" s="197"/>
      <c r="H21" s="110" t="s">
        <v>113</v>
      </c>
      <c r="I21" s="111"/>
      <c r="J21" s="111"/>
      <c r="K21" s="111"/>
      <c r="L21" s="112"/>
      <c r="M21" s="111"/>
      <c r="N21" s="294" t="s">
        <v>114</v>
      </c>
      <c r="O21" s="295"/>
      <c r="P21" s="295"/>
      <c r="Q21" s="296"/>
      <c r="R21" s="296"/>
      <c r="S21" s="297"/>
      <c r="T21" s="37"/>
      <c r="U21" s="37"/>
      <c r="V21" s="37"/>
      <c r="W21" s="37"/>
      <c r="X21" s="37"/>
      <c r="Y21" s="37"/>
    </row>
    <row r="22" spans="1:25" s="18" customFormat="1" ht="15" x14ac:dyDescent="0.25">
      <c r="A22" s="38"/>
      <c r="B22" s="56" t="s">
        <v>115</v>
      </c>
      <c r="C22" s="56" t="s">
        <v>1</v>
      </c>
      <c r="D22" s="56" t="s">
        <v>2</v>
      </c>
      <c r="E22" s="58" t="s">
        <v>116</v>
      </c>
      <c r="F22" s="56" t="s">
        <v>117</v>
      </c>
      <c r="G22" s="198" t="s">
        <v>118</v>
      </c>
      <c r="H22" s="56" t="s">
        <v>115</v>
      </c>
      <c r="I22" s="58" t="s">
        <v>1</v>
      </c>
      <c r="J22" s="58" t="s">
        <v>2</v>
      </c>
      <c r="K22" s="58" t="s">
        <v>116</v>
      </c>
      <c r="L22" s="56" t="s">
        <v>117</v>
      </c>
      <c r="M22" s="56" t="s">
        <v>118</v>
      </c>
      <c r="N22" s="57" t="s">
        <v>115</v>
      </c>
      <c r="O22" s="57" t="s">
        <v>1</v>
      </c>
      <c r="P22" s="57" t="s">
        <v>2</v>
      </c>
      <c r="Q22" s="57" t="s">
        <v>116</v>
      </c>
      <c r="R22" s="57" t="s">
        <v>117</v>
      </c>
      <c r="S22" s="58" t="s">
        <v>118</v>
      </c>
      <c r="T22" s="37"/>
      <c r="U22" s="37"/>
      <c r="V22" s="37"/>
      <c r="W22" s="37"/>
      <c r="X22" s="37"/>
      <c r="Y22" s="37"/>
    </row>
    <row r="23" spans="1:25" s="18" customFormat="1" ht="15" x14ac:dyDescent="0.25">
      <c r="A23" s="17" t="s">
        <v>119</v>
      </c>
      <c r="B23" s="82">
        <v>20</v>
      </c>
      <c r="C23" s="78">
        <v>28</v>
      </c>
      <c r="D23" s="78">
        <v>4.5</v>
      </c>
      <c r="E23" s="107">
        <f>IF(ISBLANK(B23),"***",(B23-C23)/D23)</f>
        <v>-1.7777777777777777</v>
      </c>
      <c r="F23" s="94">
        <f>E23*15+100</f>
        <v>73.333333333333343</v>
      </c>
      <c r="G23" s="88">
        <f>NORMSDIST(E23)*100</f>
        <v>3.7720179813400243</v>
      </c>
      <c r="H23" s="82">
        <v>23</v>
      </c>
      <c r="I23" s="106">
        <v>26.5</v>
      </c>
      <c r="J23" s="106">
        <v>5</v>
      </c>
      <c r="K23" s="107">
        <f>IF(ISBLANK(H23),"***",(H23-I23)/J23)</f>
        <v>-0.7</v>
      </c>
      <c r="L23" s="101">
        <f>K23*15+100</f>
        <v>89.5</v>
      </c>
      <c r="M23" s="102">
        <f>NORMSDIST(K23)*100</f>
        <v>24.196365222307296</v>
      </c>
      <c r="N23" s="82">
        <v>15</v>
      </c>
      <c r="O23" s="78">
        <v>23.2</v>
      </c>
      <c r="P23" s="78">
        <v>4.5</v>
      </c>
      <c r="Q23" s="107">
        <f>IF(ISBLANK(N23),"***",(N23-O23)/P23)</f>
        <v>-1.822222222222222</v>
      </c>
      <c r="R23" s="94">
        <f>Q23*15+100</f>
        <v>72.666666666666671</v>
      </c>
      <c r="S23" s="88">
        <f>NORMSDIST(Q23)*100</f>
        <v>3.4210637023728201</v>
      </c>
      <c r="T23" s="37"/>
      <c r="U23" s="37"/>
      <c r="V23" s="37"/>
      <c r="W23" s="37"/>
      <c r="X23" s="37"/>
      <c r="Y23" s="37"/>
    </row>
    <row r="24" spans="1:25" s="18" customFormat="1" ht="15" x14ac:dyDescent="0.25">
      <c r="A24" s="17" t="s">
        <v>120</v>
      </c>
      <c r="B24" s="83">
        <v>14</v>
      </c>
      <c r="C24" s="79">
        <v>18.399999999999999</v>
      </c>
      <c r="D24" s="79">
        <v>3.5</v>
      </c>
      <c r="E24" s="108">
        <f>IF(ISBLANK(B24),"***",(B24-C24)/D24)</f>
        <v>-1.2571428571428567</v>
      </c>
      <c r="F24" s="92">
        <f t="shared" ref="F24:F34" si="10">E24*15+100</f>
        <v>81.142857142857153</v>
      </c>
      <c r="G24" s="89">
        <f t="shared" ref="G24:G34" si="11">NORMSDIST(E24)*100</f>
        <v>10.435095533617849</v>
      </c>
      <c r="H24" s="83">
        <v>14</v>
      </c>
      <c r="I24" s="80">
        <v>17.399999999999999</v>
      </c>
      <c r="J24" s="80">
        <v>3.6</v>
      </c>
      <c r="K24" s="108">
        <f t="shared" ref="K24:K33" si="12">IF(ISBLANK(H24),"***",(H24-I24)/J24)</f>
        <v>-0.94444444444444398</v>
      </c>
      <c r="L24" s="99">
        <f t="shared" ref="L24:L34" si="13">K24*15+100</f>
        <v>85.833333333333343</v>
      </c>
      <c r="M24" s="103">
        <f t="shared" ref="M24:M34" si="14">NORMSDIST(K24)*100</f>
        <v>17.247128941430834</v>
      </c>
      <c r="N24" s="83">
        <v>12</v>
      </c>
      <c r="O24" s="79">
        <v>15.3</v>
      </c>
      <c r="P24" s="79">
        <v>3.9</v>
      </c>
      <c r="Q24" s="108">
        <f t="shared" ref="Q24:Q27" si="15">IF(ISBLANK(N24),"***",(N24-O24)/P24)</f>
        <v>-0.84615384615384637</v>
      </c>
      <c r="R24" s="92">
        <f t="shared" ref="R24:R34" si="16">Q24*15+100</f>
        <v>87.307692307692307</v>
      </c>
      <c r="S24" s="89">
        <f t="shared" ref="S24:S34" si="17">NORMSDIST(Q24)*100</f>
        <v>19.873346271129627</v>
      </c>
      <c r="T24" s="37"/>
      <c r="U24" s="37"/>
      <c r="V24" s="37"/>
      <c r="W24" s="37"/>
      <c r="X24" s="37"/>
      <c r="Y24" s="37"/>
    </row>
    <row r="25" spans="1:25" s="18" customFormat="1" ht="15" x14ac:dyDescent="0.25">
      <c r="A25" s="17" t="s">
        <v>121</v>
      </c>
      <c r="B25" s="83">
        <v>12</v>
      </c>
      <c r="C25" s="79">
        <v>18.100000000000001</v>
      </c>
      <c r="D25" s="79">
        <v>1.7</v>
      </c>
      <c r="E25" s="108">
        <f>IF(ISBLANK(B25),"***",(B25-C25)/D25)</f>
        <v>-3.5882352941176481</v>
      </c>
      <c r="F25" s="92">
        <f t="shared" si="10"/>
        <v>46.176470588235276</v>
      </c>
      <c r="G25" s="89">
        <f t="shared" si="11"/>
        <v>1.664618862878239E-2</v>
      </c>
      <c r="H25" s="83">
        <v>18</v>
      </c>
      <c r="I25" s="80">
        <v>17.8</v>
      </c>
      <c r="J25" s="80">
        <v>1.8</v>
      </c>
      <c r="K25" s="108">
        <f t="shared" si="12"/>
        <v>0.11111111111111072</v>
      </c>
      <c r="L25" s="99">
        <f t="shared" si="13"/>
        <v>101.66666666666666</v>
      </c>
      <c r="M25" s="103">
        <f t="shared" si="14"/>
        <v>54.423588104531127</v>
      </c>
      <c r="N25" s="83">
        <v>18</v>
      </c>
      <c r="O25" s="79">
        <v>17.3</v>
      </c>
      <c r="P25" s="79">
        <v>2</v>
      </c>
      <c r="Q25" s="108">
        <f t="shared" si="15"/>
        <v>0.34999999999999964</v>
      </c>
      <c r="R25" s="92">
        <f t="shared" si="16"/>
        <v>105.25</v>
      </c>
      <c r="S25" s="89">
        <f t="shared" si="17"/>
        <v>63.683065117561895</v>
      </c>
      <c r="T25" s="37"/>
      <c r="U25" s="37"/>
      <c r="V25" s="37"/>
      <c r="W25" s="37"/>
      <c r="X25" s="37"/>
      <c r="Y25" s="37"/>
    </row>
    <row r="26" spans="1:25" s="18" customFormat="1" ht="15" x14ac:dyDescent="0.25">
      <c r="A26" s="17" t="s">
        <v>122</v>
      </c>
      <c r="B26" s="83">
        <v>15</v>
      </c>
      <c r="C26" s="79">
        <v>16.600000000000001</v>
      </c>
      <c r="D26" s="79">
        <v>2.9</v>
      </c>
      <c r="E26" s="108">
        <f t="shared" ref="E26:E34" si="18">IF(ISBLANK(B26),"***",(B26-C26)/D26)</f>
        <v>-0.55172413793103503</v>
      </c>
      <c r="F26" s="92">
        <f t="shared" si="10"/>
        <v>91.724137931034477</v>
      </c>
      <c r="G26" s="89">
        <f t="shared" si="11"/>
        <v>29.056868483329989</v>
      </c>
      <c r="H26" s="83">
        <v>16</v>
      </c>
      <c r="I26" s="80">
        <v>16.399999999999999</v>
      </c>
      <c r="J26" s="80">
        <v>2.8</v>
      </c>
      <c r="K26" s="108">
        <f>IF(ISBLANK(H26),"***",(H26-I26)/J26)</f>
        <v>-0.14285714285714235</v>
      </c>
      <c r="L26" s="99">
        <f t="shared" si="13"/>
        <v>97.857142857142861</v>
      </c>
      <c r="M26" s="103">
        <f t="shared" si="14"/>
        <v>44.3201503183532</v>
      </c>
      <c r="N26" s="83">
        <v>2</v>
      </c>
      <c r="O26" s="79">
        <v>15.7</v>
      </c>
      <c r="P26" s="79">
        <v>2.6</v>
      </c>
      <c r="Q26" s="108">
        <f>IF(ISBLANK(N26),"***",(N26-O26)/P26)</f>
        <v>-5.2692307692307692</v>
      </c>
      <c r="R26" s="92">
        <f t="shared" si="16"/>
        <v>20.961538461538467</v>
      </c>
      <c r="S26" s="89">
        <f t="shared" si="17"/>
        <v>6.8498322693976118E-6</v>
      </c>
      <c r="T26" s="37"/>
      <c r="U26" s="37"/>
      <c r="V26" s="37"/>
      <c r="W26" s="37"/>
      <c r="X26" s="37"/>
      <c r="Y26" s="37"/>
    </row>
    <row r="27" spans="1:25" s="18" customFormat="1" ht="15" x14ac:dyDescent="0.25">
      <c r="A27" s="17" t="s">
        <v>123</v>
      </c>
      <c r="B27" s="83">
        <v>6</v>
      </c>
      <c r="C27" s="79">
        <v>9.6999999999999993</v>
      </c>
      <c r="D27" s="79">
        <v>0.5</v>
      </c>
      <c r="E27" s="108">
        <f t="shared" si="18"/>
        <v>-7.3999999999999986</v>
      </c>
      <c r="F27" s="92">
        <f t="shared" si="10"/>
        <v>-10.999999999999972</v>
      </c>
      <c r="G27" s="89">
        <f t="shared" si="11"/>
        <v>6.8092248906200622E-12</v>
      </c>
      <c r="H27" s="83">
        <v>9</v>
      </c>
      <c r="I27" s="80">
        <v>9.6</v>
      </c>
      <c r="J27" s="80">
        <v>0.7</v>
      </c>
      <c r="K27" s="108">
        <f t="shared" si="12"/>
        <v>-0.85714285714285665</v>
      </c>
      <c r="L27" s="99">
        <f t="shared" si="13"/>
        <v>87.142857142857153</v>
      </c>
      <c r="M27" s="103">
        <f t="shared" si="14"/>
        <v>19.568296915377616</v>
      </c>
      <c r="N27" s="83">
        <v>9</v>
      </c>
      <c r="O27" s="79">
        <v>9.1</v>
      </c>
      <c r="P27" s="79">
        <v>1</v>
      </c>
      <c r="Q27" s="108">
        <f t="shared" si="15"/>
        <v>-9.9999999999999645E-2</v>
      </c>
      <c r="R27" s="92">
        <f t="shared" si="16"/>
        <v>98.5</v>
      </c>
      <c r="S27" s="89">
        <f t="shared" si="17"/>
        <v>46.017216272297112</v>
      </c>
      <c r="T27" s="37"/>
      <c r="U27" s="37"/>
      <c r="V27" s="37"/>
      <c r="W27" s="37"/>
      <c r="X27" s="37"/>
      <c r="Y27" s="37"/>
    </row>
    <row r="28" spans="1:25" s="18" customFormat="1" ht="15" x14ac:dyDescent="0.25">
      <c r="A28" s="17" t="s">
        <v>124</v>
      </c>
      <c r="B28" s="83">
        <v>10</v>
      </c>
      <c r="C28" s="79">
        <v>21</v>
      </c>
      <c r="D28" s="79">
        <v>4.5999999999999996</v>
      </c>
      <c r="E28" s="108">
        <f t="shared" si="18"/>
        <v>-2.3913043478260874</v>
      </c>
      <c r="F28" s="92">
        <f t="shared" si="10"/>
        <v>64.130434782608688</v>
      </c>
      <c r="G28" s="89">
        <f t="shared" si="11"/>
        <v>0.83943147055127543</v>
      </c>
      <c r="H28" s="83">
        <v>11</v>
      </c>
      <c r="I28" s="80">
        <v>19.8</v>
      </c>
      <c r="J28" s="80">
        <v>5.2</v>
      </c>
      <c r="K28" s="108">
        <f>IF(ISBLANK(H28),"***",(H28-I28)/J28)</f>
        <v>-1.6923076923076923</v>
      </c>
      <c r="L28" s="99">
        <f t="shared" si="13"/>
        <v>74.615384615384613</v>
      </c>
      <c r="M28" s="103">
        <f t="shared" si="14"/>
        <v>4.5293660960756856</v>
      </c>
      <c r="N28" s="83">
        <v>7</v>
      </c>
      <c r="O28" s="79">
        <v>17.399999999999999</v>
      </c>
      <c r="P28" s="79">
        <v>3.7</v>
      </c>
      <c r="Q28" s="108">
        <f>IF(ISBLANK(N28),"***",(N28-O28)/P28)</f>
        <v>-2.8108108108108101</v>
      </c>
      <c r="R28" s="92">
        <f t="shared" si="16"/>
        <v>57.837837837837846</v>
      </c>
      <c r="S28" s="89">
        <f t="shared" si="17"/>
        <v>0.24708416910266046</v>
      </c>
      <c r="T28" s="37"/>
      <c r="U28" s="37"/>
      <c r="V28" s="37"/>
      <c r="W28" s="37"/>
      <c r="X28" s="37"/>
      <c r="Y28" s="37"/>
    </row>
    <row r="29" spans="1:25" s="18" customFormat="1" ht="15" x14ac:dyDescent="0.25">
      <c r="A29" s="17" t="s">
        <v>125</v>
      </c>
      <c r="B29" s="83">
        <v>5</v>
      </c>
      <c r="C29" s="79">
        <v>10.199999999999999</v>
      </c>
      <c r="D29" s="79">
        <v>2.1</v>
      </c>
      <c r="E29" s="108">
        <f t="shared" si="18"/>
        <v>-2.4761904761904758</v>
      </c>
      <c r="F29" s="92">
        <f t="shared" si="10"/>
        <v>62.857142857142861</v>
      </c>
      <c r="G29" s="89">
        <f t="shared" si="11"/>
        <v>0.66396355877271762</v>
      </c>
      <c r="H29" s="83">
        <v>7</v>
      </c>
      <c r="I29" s="80">
        <v>10.4</v>
      </c>
      <c r="J29" s="80">
        <v>2.5</v>
      </c>
      <c r="K29" s="108">
        <f t="shared" si="12"/>
        <v>-1.36</v>
      </c>
      <c r="L29" s="99">
        <f t="shared" si="13"/>
        <v>79.599999999999994</v>
      </c>
      <c r="M29" s="103">
        <f t="shared" si="14"/>
        <v>8.691496194708499</v>
      </c>
      <c r="N29" s="83">
        <v>7</v>
      </c>
      <c r="O29" s="79">
        <v>9.1999999999999993</v>
      </c>
      <c r="P29" s="79">
        <v>2.2000000000000002</v>
      </c>
      <c r="Q29" s="108">
        <f t="shared" ref="Q29:Q34" si="19">IF(ISBLANK(N29),"***",(N29-O29)/P29)</f>
        <v>-0.99999999999999956</v>
      </c>
      <c r="R29" s="92">
        <f t="shared" si="16"/>
        <v>85</v>
      </c>
      <c r="S29" s="89">
        <f t="shared" si="17"/>
        <v>15.86552539314571</v>
      </c>
      <c r="T29" s="37"/>
      <c r="U29" s="37"/>
      <c r="V29" s="37"/>
      <c r="W29" s="37"/>
      <c r="X29" s="37"/>
      <c r="Y29" s="37"/>
    </row>
    <row r="30" spans="1:25" s="18" customFormat="1" ht="15" x14ac:dyDescent="0.25">
      <c r="A30" s="17" t="s">
        <v>126</v>
      </c>
      <c r="B30" s="83">
        <v>18</v>
      </c>
      <c r="C30" s="79">
        <v>46.1</v>
      </c>
      <c r="D30" s="79">
        <v>7.9</v>
      </c>
      <c r="E30" s="108">
        <f t="shared" si="18"/>
        <v>-3.5569620253164556</v>
      </c>
      <c r="F30" s="92">
        <f t="shared" si="10"/>
        <v>46.64556962025317</v>
      </c>
      <c r="G30" s="89">
        <f t="shared" si="11"/>
        <v>1.8758418205389923E-2</v>
      </c>
      <c r="H30" s="83">
        <v>41</v>
      </c>
      <c r="I30" s="80">
        <v>41.3</v>
      </c>
      <c r="J30" s="80">
        <v>9</v>
      </c>
      <c r="K30" s="108">
        <f>IF(ISBLANK(H30),"***",(H30-I30)/J30)</f>
        <v>-3.3333333333333021E-2</v>
      </c>
      <c r="L30" s="99">
        <f t="shared" si="13"/>
        <v>99.5</v>
      </c>
      <c r="M30" s="103">
        <f t="shared" si="14"/>
        <v>48.670438618290802</v>
      </c>
      <c r="N30" s="83">
        <v>12</v>
      </c>
      <c r="O30" s="79">
        <v>34</v>
      </c>
      <c r="P30" s="79">
        <v>6.8</v>
      </c>
      <c r="Q30" s="108">
        <f t="shared" si="19"/>
        <v>-3.2352941176470589</v>
      </c>
      <c r="R30" s="92">
        <f t="shared" si="16"/>
        <v>51.470588235294116</v>
      </c>
      <c r="S30" s="89">
        <f t="shared" si="17"/>
        <v>6.0758742970550603E-2</v>
      </c>
      <c r="T30" s="37"/>
      <c r="U30" s="37"/>
      <c r="V30" s="37"/>
      <c r="W30" s="37"/>
      <c r="X30" s="37"/>
      <c r="Y30" s="37"/>
    </row>
    <row r="31" spans="1:25" s="18" customFormat="1" ht="15" x14ac:dyDescent="0.25">
      <c r="A31" s="17" t="s">
        <v>127</v>
      </c>
      <c r="B31" s="83">
        <v>5</v>
      </c>
      <c r="C31" s="79">
        <v>6</v>
      </c>
      <c r="D31" s="79">
        <v>2.2000000000000002</v>
      </c>
      <c r="E31" s="108">
        <f t="shared" si="18"/>
        <v>-0.45454545454545453</v>
      </c>
      <c r="F31" s="92">
        <f t="shared" si="10"/>
        <v>93.181818181818187</v>
      </c>
      <c r="G31" s="89">
        <f t="shared" si="11"/>
        <v>32.471814186337731</v>
      </c>
      <c r="H31" s="83">
        <v>5</v>
      </c>
      <c r="I31" s="80">
        <v>4.9000000000000004</v>
      </c>
      <c r="J31" s="80">
        <v>2.5</v>
      </c>
      <c r="K31" s="108">
        <f t="shared" si="12"/>
        <v>3.9999999999999855E-2</v>
      </c>
      <c r="L31" s="99">
        <f t="shared" si="13"/>
        <v>100.6</v>
      </c>
      <c r="M31" s="103">
        <f t="shared" si="14"/>
        <v>51.595343685283069</v>
      </c>
      <c r="N31" s="83">
        <v>0</v>
      </c>
      <c r="O31" s="79">
        <v>3.9</v>
      </c>
      <c r="P31" s="79">
        <v>2.2999999999999998</v>
      </c>
      <c r="Q31" s="108">
        <f t="shared" si="19"/>
        <v>-1.6956521739130437</v>
      </c>
      <c r="R31" s="92">
        <f t="shared" si="16"/>
        <v>74.565217391304344</v>
      </c>
      <c r="S31" s="89">
        <f t="shared" si="17"/>
        <v>4.4975885410803143</v>
      </c>
      <c r="T31" s="37"/>
      <c r="U31" s="37"/>
      <c r="V31" s="37"/>
      <c r="W31" s="37"/>
      <c r="X31" s="37"/>
      <c r="Y31" s="37"/>
    </row>
    <row r="32" spans="1:25" s="18" customFormat="1" ht="15" x14ac:dyDescent="0.25">
      <c r="A32" s="17" t="s">
        <v>128</v>
      </c>
      <c r="B32" s="83">
        <v>16</v>
      </c>
      <c r="C32" s="79">
        <v>19.399999999999999</v>
      </c>
      <c r="D32" s="79">
        <v>1.2</v>
      </c>
      <c r="E32" s="108">
        <f t="shared" si="18"/>
        <v>-2.8333333333333321</v>
      </c>
      <c r="F32" s="92">
        <f t="shared" si="10"/>
        <v>57.500000000000014</v>
      </c>
      <c r="G32" s="89">
        <f t="shared" si="11"/>
        <v>0.23032661316958911</v>
      </c>
      <c r="H32" s="83">
        <v>20</v>
      </c>
      <c r="I32" s="80">
        <v>19.2</v>
      </c>
      <c r="J32" s="80">
        <v>1.2</v>
      </c>
      <c r="K32" s="108">
        <f>IF(ISBLANK(H32),"***",(H32-I32)/J32)</f>
        <v>0.6666666666666673</v>
      </c>
      <c r="L32" s="99">
        <f t="shared" si="13"/>
        <v>110.00000000000001</v>
      </c>
      <c r="M32" s="103">
        <f t="shared" si="14"/>
        <v>74.750746245307738</v>
      </c>
      <c r="N32" s="83">
        <v>14</v>
      </c>
      <c r="O32" s="79">
        <v>18.8</v>
      </c>
      <c r="P32" s="79">
        <v>1.4</v>
      </c>
      <c r="Q32" s="108">
        <f>IF(ISBLANK(N32),"***",(N32-O32)/P32)</f>
        <v>-3.4285714285714293</v>
      </c>
      <c r="R32" s="92">
        <f t="shared" si="16"/>
        <v>48.571428571428562</v>
      </c>
      <c r="S32" s="89">
        <f t="shared" si="17"/>
        <v>3.0338342281803092E-2</v>
      </c>
      <c r="T32" s="37"/>
      <c r="U32" s="37"/>
      <c r="V32" s="37"/>
      <c r="W32" s="37"/>
      <c r="X32" s="37"/>
      <c r="Y32" s="37"/>
    </row>
    <row r="33" spans="1:34" s="18" customFormat="1" ht="15" x14ac:dyDescent="0.25">
      <c r="A33" s="17" t="s">
        <v>129</v>
      </c>
      <c r="B33" s="83">
        <v>7</v>
      </c>
      <c r="C33" s="79">
        <v>9.3000000000000007</v>
      </c>
      <c r="D33" s="79">
        <v>2.1</v>
      </c>
      <c r="E33" s="108">
        <f t="shared" si="18"/>
        <v>-1.0952380952380956</v>
      </c>
      <c r="F33" s="92">
        <f t="shared" si="10"/>
        <v>83.571428571428569</v>
      </c>
      <c r="G33" s="89">
        <f t="shared" si="11"/>
        <v>13.670617005697375</v>
      </c>
      <c r="H33" s="83">
        <v>8</v>
      </c>
      <c r="I33" s="80">
        <v>9</v>
      </c>
      <c r="J33" s="80">
        <v>2.2000000000000002</v>
      </c>
      <c r="K33" s="108">
        <f t="shared" si="12"/>
        <v>-0.45454545454545453</v>
      </c>
      <c r="L33" s="99">
        <f t="shared" si="13"/>
        <v>93.181818181818187</v>
      </c>
      <c r="M33" s="103">
        <f t="shared" si="14"/>
        <v>32.471814186337731</v>
      </c>
      <c r="N33" s="83">
        <v>2</v>
      </c>
      <c r="O33" s="79">
        <v>7.4</v>
      </c>
      <c r="P33" s="79">
        <v>2.8</v>
      </c>
      <c r="Q33" s="108">
        <f t="shared" si="19"/>
        <v>-1.9285714285714288</v>
      </c>
      <c r="R33" s="92">
        <f t="shared" si="16"/>
        <v>71.071428571428569</v>
      </c>
      <c r="S33" s="89">
        <f t="shared" si="17"/>
        <v>2.689204443119912</v>
      </c>
      <c r="T33" s="37"/>
      <c r="U33" s="37"/>
      <c r="V33" s="37"/>
      <c r="W33" s="37"/>
      <c r="X33" s="37"/>
      <c r="Y33" s="37"/>
    </row>
    <row r="34" spans="1:34" s="18" customFormat="1" ht="15" x14ac:dyDescent="0.25">
      <c r="A34" s="36" t="s">
        <v>130</v>
      </c>
      <c r="B34" s="84">
        <v>6</v>
      </c>
      <c r="C34" s="96">
        <v>13.6</v>
      </c>
      <c r="D34" s="96">
        <v>4</v>
      </c>
      <c r="E34" s="109">
        <f t="shared" si="18"/>
        <v>-1.9</v>
      </c>
      <c r="F34" s="95">
        <f t="shared" si="10"/>
        <v>71.5</v>
      </c>
      <c r="G34" s="90">
        <f t="shared" si="11"/>
        <v>2.8716559816001799</v>
      </c>
      <c r="H34" s="84">
        <v>12</v>
      </c>
      <c r="I34" s="81">
        <v>12.5</v>
      </c>
      <c r="J34" s="81">
        <v>4.2</v>
      </c>
      <c r="K34" s="109">
        <f>IF(ISBLANK(H34),"***",(H34-I34)/J34)</f>
        <v>-0.11904761904761904</v>
      </c>
      <c r="L34" s="104">
        <f t="shared" si="13"/>
        <v>98.214285714285708</v>
      </c>
      <c r="M34" s="105">
        <f t="shared" si="14"/>
        <v>45.261881472792062</v>
      </c>
      <c r="N34" s="84">
        <v>0</v>
      </c>
      <c r="O34" s="96">
        <v>11.4</v>
      </c>
      <c r="P34" s="96">
        <v>4.0999999999999996</v>
      </c>
      <c r="Q34" s="109">
        <f t="shared" si="19"/>
        <v>-2.780487804878049</v>
      </c>
      <c r="R34" s="95">
        <f t="shared" si="16"/>
        <v>58.292682926829265</v>
      </c>
      <c r="S34" s="90">
        <f t="shared" si="17"/>
        <v>0.27138649147354116</v>
      </c>
      <c r="T34" s="37"/>
      <c r="U34" s="37"/>
      <c r="V34" s="37"/>
      <c r="W34" s="37"/>
      <c r="X34" s="37"/>
      <c r="Y34" s="37"/>
    </row>
    <row r="35" spans="1:34" s="18" customFormat="1" ht="15" x14ac:dyDescent="0.25">
      <c r="A35" s="17"/>
      <c r="B35" s="97"/>
      <c r="C35" s="97"/>
      <c r="D35" s="97"/>
      <c r="E35" s="98"/>
      <c r="F35" s="92"/>
      <c r="G35" s="92"/>
      <c r="H35" s="97"/>
      <c r="I35" s="97"/>
      <c r="J35" s="97"/>
      <c r="K35" s="98"/>
      <c r="L35" s="99"/>
      <c r="M35" s="100"/>
      <c r="N35" s="97"/>
      <c r="O35" s="97"/>
      <c r="P35" s="97"/>
      <c r="Q35" s="98"/>
      <c r="R35" s="92"/>
      <c r="S35" s="93"/>
      <c r="T35" s="37"/>
      <c r="U35" s="37"/>
      <c r="V35" s="37"/>
      <c r="W35" s="37"/>
      <c r="X35" s="37"/>
      <c r="Y35" s="37"/>
    </row>
    <row r="36" spans="1:34" s="18" customFormat="1" ht="15" x14ac:dyDescent="0.25">
      <c r="A36" s="38"/>
      <c r="B36" s="37"/>
      <c r="C36" s="37"/>
      <c r="D36" s="37"/>
      <c r="E36" s="37"/>
      <c r="F36" s="37"/>
      <c r="G36" s="37"/>
      <c r="H36" s="37"/>
      <c r="I36" s="37"/>
      <c r="J36" s="37"/>
      <c r="K36" s="37"/>
      <c r="L36" s="37"/>
      <c r="M36" s="37"/>
      <c r="N36" s="37"/>
      <c r="O36" s="37"/>
      <c r="P36" s="37"/>
      <c r="Q36" s="37"/>
      <c r="R36" s="37"/>
      <c r="S36" s="37"/>
      <c r="T36" s="37"/>
      <c r="U36" s="37"/>
      <c r="V36" s="37"/>
      <c r="W36" s="37"/>
      <c r="X36" s="37"/>
      <c r="Y36" s="37"/>
    </row>
    <row r="37" spans="1:34" ht="15" customHeight="1" x14ac:dyDescent="0.25">
      <c r="A37" s="17" t="s">
        <v>11</v>
      </c>
      <c r="B37" s="3" t="s">
        <v>35</v>
      </c>
      <c r="C37" s="3"/>
      <c r="D37" s="3"/>
      <c r="E37" s="17" t="s">
        <v>61</v>
      </c>
      <c r="F37"/>
      <c r="G37" s="144"/>
      <c r="I37" s="17"/>
      <c r="J37" s="17"/>
    </row>
    <row r="38" spans="1:34" ht="15" customHeight="1" x14ac:dyDescent="0.25">
      <c r="A38" s="18" t="s">
        <v>37</v>
      </c>
      <c r="B38" t="s">
        <v>38</v>
      </c>
      <c r="C38"/>
      <c r="D38"/>
      <c r="E38" s="18" t="s">
        <v>39</v>
      </c>
      <c r="F38"/>
      <c r="G38" s="144"/>
      <c r="I38" s="18"/>
      <c r="J38" s="18"/>
    </row>
    <row r="39" spans="1:34" ht="15" x14ac:dyDescent="0.25">
      <c r="A39" s="18" t="s">
        <v>40</v>
      </c>
      <c r="B39" t="s">
        <v>41</v>
      </c>
      <c r="C39"/>
      <c r="D39"/>
      <c r="E39" s="18" t="s">
        <v>42</v>
      </c>
      <c r="F39"/>
      <c r="G39" s="144"/>
      <c r="I39" s="18"/>
      <c r="J39" s="18"/>
    </row>
    <row r="40" spans="1:34" ht="15" x14ac:dyDescent="0.25">
      <c r="A40" s="18" t="s">
        <v>43</v>
      </c>
      <c r="B40" t="s">
        <v>44</v>
      </c>
      <c r="C40"/>
      <c r="D40"/>
      <c r="E40" s="18" t="s">
        <v>45</v>
      </c>
      <c r="F40"/>
      <c r="G40" s="144"/>
      <c r="I40" s="18"/>
      <c r="J40" s="18"/>
    </row>
    <row r="41" spans="1:34" ht="15" x14ac:dyDescent="0.25">
      <c r="A41" s="18" t="s">
        <v>46</v>
      </c>
      <c r="B41" t="s">
        <v>47</v>
      </c>
      <c r="C41"/>
      <c r="D41"/>
      <c r="E41" s="18" t="s">
        <v>48</v>
      </c>
      <c r="F41"/>
      <c r="G41" s="144"/>
      <c r="I41" s="18"/>
      <c r="J41" s="18"/>
    </row>
    <row r="42" spans="1:34" ht="15" x14ac:dyDescent="0.25">
      <c r="A42" s="18" t="s">
        <v>49</v>
      </c>
      <c r="B42" t="s">
        <v>50</v>
      </c>
      <c r="C42"/>
      <c r="D42"/>
      <c r="E42" s="18" t="s">
        <v>51</v>
      </c>
      <c r="F42"/>
      <c r="G42" s="144"/>
      <c r="I42" s="18"/>
      <c r="J42" s="18"/>
    </row>
    <row r="43" spans="1:34" ht="15" x14ac:dyDescent="0.25">
      <c r="A43" s="18" t="s">
        <v>52</v>
      </c>
      <c r="B43" t="s">
        <v>53</v>
      </c>
      <c r="C43"/>
      <c r="D43"/>
      <c r="E43" s="18" t="s">
        <v>54</v>
      </c>
      <c r="F43"/>
      <c r="G43" s="144"/>
      <c r="I43" s="18"/>
      <c r="J43" s="18"/>
    </row>
    <row r="44" spans="1:34" ht="15" x14ac:dyDescent="0.25">
      <c r="A44" s="18" t="s">
        <v>55</v>
      </c>
      <c r="B44" t="s">
        <v>56</v>
      </c>
      <c r="C44"/>
      <c r="D44"/>
      <c r="E44" s="18" t="s">
        <v>134</v>
      </c>
      <c r="F44"/>
      <c r="G44" s="144"/>
      <c r="I44" s="18"/>
      <c r="J44" s="18"/>
    </row>
    <row r="45" spans="1:34" s="18" customFormat="1" ht="15" x14ac:dyDescent="0.25">
      <c r="G45" s="37"/>
    </row>
    <row r="46" spans="1:34" s="18" customFormat="1" ht="15" x14ac:dyDescent="0.25">
      <c r="G46" s="37"/>
    </row>
    <row r="47" spans="1:34" s="18" customFormat="1" ht="15" x14ac:dyDescent="0.25">
      <c r="G47" s="37"/>
    </row>
    <row r="48" spans="1:34" s="18" customFormat="1" ht="15" x14ac:dyDescent="0.25">
      <c r="G48" s="37"/>
      <c r="AF48" s="17"/>
      <c r="AG48" s="17"/>
      <c r="AH48" s="17"/>
    </row>
  </sheetData>
  <mergeCells count="1">
    <mergeCell ref="N21:S2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20"/>
  <sheetViews>
    <sheetView showGridLines="0" workbookViewId="0">
      <pane xSplit="1" ySplit="4" topLeftCell="B20" activePane="bottomRight" state="frozen"/>
      <selection pane="topRight" activeCell="B1" sqref="B1"/>
      <selection pane="bottomLeft" activeCell="A8" sqref="A8"/>
      <selection pane="bottomRight" activeCell="P54" sqref="P54"/>
    </sheetView>
  </sheetViews>
  <sheetFormatPr defaultColWidth="8.85546875" defaultRowHeight="11.25" x14ac:dyDescent="0.2"/>
  <cols>
    <col min="1" max="1" width="20.140625" style="30" customWidth="1"/>
    <col min="2" max="2" width="15.42578125" style="30" customWidth="1"/>
    <col min="3" max="3" width="7.140625" style="140" customWidth="1"/>
    <col min="4" max="33" width="7.140625" style="30" customWidth="1"/>
    <col min="34" max="276" width="8.85546875" style="30"/>
    <col min="277" max="277" width="16" style="30" customWidth="1"/>
    <col min="278" max="289" width="5.28515625" style="30" customWidth="1"/>
    <col min="290" max="532" width="8.85546875" style="30"/>
    <col min="533" max="533" width="16" style="30" customWidth="1"/>
    <col min="534" max="545" width="5.28515625" style="30" customWidth="1"/>
    <col min="546" max="788" width="8.85546875" style="30"/>
    <col min="789" max="789" width="16" style="30" customWidth="1"/>
    <col min="790" max="801" width="5.28515625" style="30" customWidth="1"/>
    <col min="802" max="1044" width="8.85546875" style="30"/>
    <col min="1045" max="1045" width="16" style="30" customWidth="1"/>
    <col min="1046" max="1057" width="5.28515625" style="30" customWidth="1"/>
    <col min="1058" max="1300" width="8.85546875" style="30"/>
    <col min="1301" max="1301" width="16" style="30" customWidth="1"/>
    <col min="1302" max="1313" width="5.28515625" style="30" customWidth="1"/>
    <col min="1314" max="1556" width="8.85546875" style="30"/>
    <col min="1557" max="1557" width="16" style="30" customWidth="1"/>
    <col min="1558" max="1569" width="5.28515625" style="30" customWidth="1"/>
    <col min="1570" max="1812" width="8.85546875" style="30"/>
    <col min="1813" max="1813" width="16" style="30" customWidth="1"/>
    <col min="1814" max="1825" width="5.28515625" style="30" customWidth="1"/>
    <col min="1826" max="2068" width="8.85546875" style="30"/>
    <col min="2069" max="2069" width="16" style="30" customWidth="1"/>
    <col min="2070" max="2081" width="5.28515625" style="30" customWidth="1"/>
    <col min="2082" max="2324" width="8.85546875" style="30"/>
    <col min="2325" max="2325" width="16" style="30" customWidth="1"/>
    <col min="2326" max="2337" width="5.28515625" style="30" customWidth="1"/>
    <col min="2338" max="2580" width="8.85546875" style="30"/>
    <col min="2581" max="2581" width="16" style="30" customWidth="1"/>
    <col min="2582" max="2593" width="5.28515625" style="30" customWidth="1"/>
    <col min="2594" max="2836" width="8.85546875" style="30"/>
    <col min="2837" max="2837" width="16" style="30" customWidth="1"/>
    <col min="2838" max="2849" width="5.28515625" style="30" customWidth="1"/>
    <col min="2850" max="3092" width="8.85546875" style="30"/>
    <col min="3093" max="3093" width="16" style="30" customWidth="1"/>
    <col min="3094" max="3105" width="5.28515625" style="30" customWidth="1"/>
    <col min="3106" max="3348" width="8.85546875" style="30"/>
    <col min="3349" max="3349" width="16" style="30" customWidth="1"/>
    <col min="3350" max="3361" width="5.28515625" style="30" customWidth="1"/>
    <col min="3362" max="3604" width="8.85546875" style="30"/>
    <col min="3605" max="3605" width="16" style="30" customWidth="1"/>
    <col min="3606" max="3617" width="5.28515625" style="30" customWidth="1"/>
    <col min="3618" max="3860" width="8.85546875" style="30"/>
    <col min="3861" max="3861" width="16" style="30" customWidth="1"/>
    <col min="3862" max="3873" width="5.28515625" style="30" customWidth="1"/>
    <col min="3874" max="4116" width="8.85546875" style="30"/>
    <col min="4117" max="4117" width="16" style="30" customWidth="1"/>
    <col min="4118" max="4129" width="5.28515625" style="30" customWidth="1"/>
    <col min="4130" max="4372" width="8.85546875" style="30"/>
    <col min="4373" max="4373" width="16" style="30" customWidth="1"/>
    <col min="4374" max="4385" width="5.28515625" style="30" customWidth="1"/>
    <col min="4386" max="4628" width="8.85546875" style="30"/>
    <col min="4629" max="4629" width="16" style="30" customWidth="1"/>
    <col min="4630" max="4641" width="5.28515625" style="30" customWidth="1"/>
    <col min="4642" max="4884" width="8.85546875" style="30"/>
    <col min="4885" max="4885" width="16" style="30" customWidth="1"/>
    <col min="4886" max="4897" width="5.28515625" style="30" customWidth="1"/>
    <col min="4898" max="5140" width="8.85546875" style="30"/>
    <col min="5141" max="5141" width="16" style="30" customWidth="1"/>
    <col min="5142" max="5153" width="5.28515625" style="30" customWidth="1"/>
    <col min="5154" max="5396" width="8.85546875" style="30"/>
    <col min="5397" max="5397" width="16" style="30" customWidth="1"/>
    <col min="5398" max="5409" width="5.28515625" style="30" customWidth="1"/>
    <col min="5410" max="5652" width="8.85546875" style="30"/>
    <col min="5653" max="5653" width="16" style="30" customWidth="1"/>
    <col min="5654" max="5665" width="5.28515625" style="30" customWidth="1"/>
    <col min="5666" max="5908" width="8.85546875" style="30"/>
    <col min="5909" max="5909" width="16" style="30" customWidth="1"/>
    <col min="5910" max="5921" width="5.28515625" style="30" customWidth="1"/>
    <col min="5922" max="6164" width="8.85546875" style="30"/>
    <col min="6165" max="6165" width="16" style="30" customWidth="1"/>
    <col min="6166" max="6177" width="5.28515625" style="30" customWidth="1"/>
    <col min="6178" max="6420" width="8.85546875" style="30"/>
    <col min="6421" max="6421" width="16" style="30" customWidth="1"/>
    <col min="6422" max="6433" width="5.28515625" style="30" customWidth="1"/>
    <col min="6434" max="6676" width="8.85546875" style="30"/>
    <col min="6677" max="6677" width="16" style="30" customWidth="1"/>
    <col min="6678" max="6689" width="5.28515625" style="30" customWidth="1"/>
    <col min="6690" max="6932" width="8.85546875" style="30"/>
    <col min="6933" max="6933" width="16" style="30" customWidth="1"/>
    <col min="6934" max="6945" width="5.28515625" style="30" customWidth="1"/>
    <col min="6946" max="7188" width="8.85546875" style="30"/>
    <col min="7189" max="7189" width="16" style="30" customWidth="1"/>
    <col min="7190" max="7201" width="5.28515625" style="30" customWidth="1"/>
    <col min="7202" max="7444" width="8.85546875" style="30"/>
    <col min="7445" max="7445" width="16" style="30" customWidth="1"/>
    <col min="7446" max="7457" width="5.28515625" style="30" customWidth="1"/>
    <col min="7458" max="7700" width="8.85546875" style="30"/>
    <col min="7701" max="7701" width="16" style="30" customWidth="1"/>
    <col min="7702" max="7713" width="5.28515625" style="30" customWidth="1"/>
    <col min="7714" max="7956" width="8.85546875" style="30"/>
    <col min="7957" max="7957" width="16" style="30" customWidth="1"/>
    <col min="7958" max="7969" width="5.28515625" style="30" customWidth="1"/>
    <col min="7970" max="8212" width="8.85546875" style="30"/>
    <col min="8213" max="8213" width="16" style="30" customWidth="1"/>
    <col min="8214" max="8225" width="5.28515625" style="30" customWidth="1"/>
    <col min="8226" max="8468" width="8.85546875" style="30"/>
    <col min="8469" max="8469" width="16" style="30" customWidth="1"/>
    <col min="8470" max="8481" width="5.28515625" style="30" customWidth="1"/>
    <col min="8482" max="8724" width="8.85546875" style="30"/>
    <col min="8725" max="8725" width="16" style="30" customWidth="1"/>
    <col min="8726" max="8737" width="5.28515625" style="30" customWidth="1"/>
    <col min="8738" max="8980" width="8.85546875" style="30"/>
    <col min="8981" max="8981" width="16" style="30" customWidth="1"/>
    <col min="8982" max="8993" width="5.28515625" style="30" customWidth="1"/>
    <col min="8994" max="9236" width="8.85546875" style="30"/>
    <col min="9237" max="9237" width="16" style="30" customWidth="1"/>
    <col min="9238" max="9249" width="5.28515625" style="30" customWidth="1"/>
    <col min="9250" max="9492" width="8.85546875" style="30"/>
    <col min="9493" max="9493" width="16" style="30" customWidth="1"/>
    <col min="9494" max="9505" width="5.28515625" style="30" customWidth="1"/>
    <col min="9506" max="9748" width="8.85546875" style="30"/>
    <col min="9749" max="9749" width="16" style="30" customWidth="1"/>
    <col min="9750" max="9761" width="5.28515625" style="30" customWidth="1"/>
    <col min="9762" max="10004" width="8.85546875" style="30"/>
    <col min="10005" max="10005" width="16" style="30" customWidth="1"/>
    <col min="10006" max="10017" width="5.28515625" style="30" customWidth="1"/>
    <col min="10018" max="10260" width="8.85546875" style="30"/>
    <col min="10261" max="10261" width="16" style="30" customWidth="1"/>
    <col min="10262" max="10273" width="5.28515625" style="30" customWidth="1"/>
    <col min="10274" max="10516" width="8.85546875" style="30"/>
    <col min="10517" max="10517" width="16" style="30" customWidth="1"/>
    <col min="10518" max="10529" width="5.28515625" style="30" customWidth="1"/>
    <col min="10530" max="10772" width="8.85546875" style="30"/>
    <col min="10773" max="10773" width="16" style="30" customWidth="1"/>
    <col min="10774" max="10785" width="5.28515625" style="30" customWidth="1"/>
    <col min="10786" max="11028" width="8.85546875" style="30"/>
    <col min="11029" max="11029" width="16" style="30" customWidth="1"/>
    <col min="11030" max="11041" width="5.28515625" style="30" customWidth="1"/>
    <col min="11042" max="11284" width="8.85546875" style="30"/>
    <col min="11285" max="11285" width="16" style="30" customWidth="1"/>
    <col min="11286" max="11297" width="5.28515625" style="30" customWidth="1"/>
    <col min="11298" max="11540" width="8.85546875" style="30"/>
    <col min="11541" max="11541" width="16" style="30" customWidth="1"/>
    <col min="11542" max="11553" width="5.28515625" style="30" customWidth="1"/>
    <col min="11554" max="11796" width="8.85546875" style="30"/>
    <col min="11797" max="11797" width="16" style="30" customWidth="1"/>
    <col min="11798" max="11809" width="5.28515625" style="30" customWidth="1"/>
    <col min="11810" max="12052" width="8.85546875" style="30"/>
    <col min="12053" max="12053" width="16" style="30" customWidth="1"/>
    <col min="12054" max="12065" width="5.28515625" style="30" customWidth="1"/>
    <col min="12066" max="12308" width="8.85546875" style="30"/>
    <col min="12309" max="12309" width="16" style="30" customWidth="1"/>
    <col min="12310" max="12321" width="5.28515625" style="30" customWidth="1"/>
    <col min="12322" max="12564" width="8.85546875" style="30"/>
    <col min="12565" max="12565" width="16" style="30" customWidth="1"/>
    <col min="12566" max="12577" width="5.28515625" style="30" customWidth="1"/>
    <col min="12578" max="12820" width="8.85546875" style="30"/>
    <col min="12821" max="12821" width="16" style="30" customWidth="1"/>
    <col min="12822" max="12833" width="5.28515625" style="30" customWidth="1"/>
    <col min="12834" max="13076" width="8.85546875" style="30"/>
    <col min="13077" max="13077" width="16" style="30" customWidth="1"/>
    <col min="13078" max="13089" width="5.28515625" style="30" customWidth="1"/>
    <col min="13090" max="13332" width="8.85546875" style="30"/>
    <col min="13333" max="13333" width="16" style="30" customWidth="1"/>
    <col min="13334" max="13345" width="5.28515625" style="30" customWidth="1"/>
    <col min="13346" max="13588" width="8.85546875" style="30"/>
    <col min="13589" max="13589" width="16" style="30" customWidth="1"/>
    <col min="13590" max="13601" width="5.28515625" style="30" customWidth="1"/>
    <col min="13602" max="13844" width="8.85546875" style="30"/>
    <col min="13845" max="13845" width="16" style="30" customWidth="1"/>
    <col min="13846" max="13857" width="5.28515625" style="30" customWidth="1"/>
    <col min="13858" max="14100" width="8.85546875" style="30"/>
    <col min="14101" max="14101" width="16" style="30" customWidth="1"/>
    <col min="14102" max="14113" width="5.28515625" style="30" customWidth="1"/>
    <col min="14114" max="14356" width="8.85546875" style="30"/>
    <col min="14357" max="14357" width="16" style="30" customWidth="1"/>
    <col min="14358" max="14369" width="5.28515625" style="30" customWidth="1"/>
    <col min="14370" max="14612" width="8.85546875" style="30"/>
    <col min="14613" max="14613" width="16" style="30" customWidth="1"/>
    <col min="14614" max="14625" width="5.28515625" style="30" customWidth="1"/>
    <col min="14626" max="14868" width="8.85546875" style="30"/>
    <col min="14869" max="14869" width="16" style="30" customWidth="1"/>
    <col min="14870" max="14881" width="5.28515625" style="30" customWidth="1"/>
    <col min="14882" max="15124" width="8.85546875" style="30"/>
    <col min="15125" max="15125" width="16" style="30" customWidth="1"/>
    <col min="15126" max="15137" width="5.28515625" style="30" customWidth="1"/>
    <col min="15138" max="15380" width="8.85546875" style="30"/>
    <col min="15381" max="15381" width="16" style="30" customWidth="1"/>
    <col min="15382" max="15393" width="5.28515625" style="30" customWidth="1"/>
    <col min="15394" max="15636" width="8.85546875" style="30"/>
    <col min="15637" max="15637" width="16" style="30" customWidth="1"/>
    <col min="15638" max="15649" width="5.28515625" style="30" customWidth="1"/>
    <col min="15650" max="15892" width="8.85546875" style="30"/>
    <col min="15893" max="15893" width="16" style="30" customWidth="1"/>
    <col min="15894" max="15905" width="5.28515625" style="30" customWidth="1"/>
    <col min="15906" max="16148" width="8.85546875" style="30"/>
    <col min="16149" max="16149" width="16" style="30" customWidth="1"/>
    <col min="16150" max="16161" width="5.28515625" style="30" customWidth="1"/>
    <col min="16162" max="16384" width="8.85546875" style="30"/>
  </cols>
  <sheetData>
    <row r="1" spans="1:33" s="3" customFormat="1" ht="21" x14ac:dyDescent="0.35">
      <c r="A1" s="10" t="s">
        <v>305</v>
      </c>
      <c r="B1" s="29"/>
      <c r="C1" s="139"/>
      <c r="D1" s="29"/>
      <c r="E1" s="29"/>
      <c r="F1" s="29"/>
      <c r="G1" s="29"/>
      <c r="H1" s="29"/>
    </row>
    <row r="2" spans="1:33" ht="15" customHeight="1" x14ac:dyDescent="0.2"/>
    <row r="3" spans="1:33" ht="24" customHeight="1" x14ac:dyDescent="0.45">
      <c r="B3" s="194" t="s">
        <v>268</v>
      </c>
      <c r="I3" s="31"/>
    </row>
    <row r="4" spans="1:33" ht="15.75" customHeight="1" x14ac:dyDescent="0.25">
      <c r="A4" s="17"/>
      <c r="C4" s="141"/>
      <c r="D4" s="34"/>
      <c r="E4" s="32"/>
      <c r="F4" s="32"/>
      <c r="G4" s="32"/>
      <c r="I4" s="33"/>
      <c r="J4" s="32"/>
      <c r="K4" s="32"/>
      <c r="L4" s="32"/>
      <c r="M4" s="32"/>
      <c r="N4" s="32"/>
      <c r="O4" s="32"/>
      <c r="P4" s="32"/>
      <c r="Q4" s="32"/>
      <c r="R4" s="32"/>
      <c r="S4" s="32"/>
      <c r="T4" s="32"/>
      <c r="U4" s="32"/>
      <c r="V4" s="32"/>
      <c r="W4" s="32"/>
      <c r="X4" s="32"/>
      <c r="Y4" s="32"/>
      <c r="Z4" s="32"/>
      <c r="AA4" s="32"/>
      <c r="AB4" s="32"/>
      <c r="AC4" s="32"/>
      <c r="AD4" s="32"/>
      <c r="AE4" s="32"/>
      <c r="AF4" s="32"/>
      <c r="AG4" s="32"/>
    </row>
    <row r="5" spans="1:33" ht="15" x14ac:dyDescent="0.25">
      <c r="A5" s="17"/>
      <c r="B5" s="193" t="s">
        <v>269</v>
      </c>
      <c r="C5" s="92"/>
      <c r="D5" s="97"/>
      <c r="E5" s="97"/>
      <c r="F5" s="97"/>
      <c r="G5" s="98"/>
      <c r="H5" s="92"/>
      <c r="I5" s="93"/>
      <c r="J5" s="97"/>
      <c r="K5" s="97"/>
      <c r="L5" s="97"/>
      <c r="M5" s="98"/>
      <c r="N5" s="92"/>
      <c r="O5" s="93"/>
    </row>
    <row r="6" spans="1:33" s="18" customFormat="1" ht="15" x14ac:dyDescent="0.25">
      <c r="A6" s="33" t="s">
        <v>131</v>
      </c>
      <c r="B6" s="82">
        <v>7</v>
      </c>
      <c r="C6" s="146" t="str">
        <f>IF(B6&lt;9,"FAIL","Pass")</f>
        <v>FAIL</v>
      </c>
      <c r="D6" s="92"/>
      <c r="E6" s="37"/>
      <c r="F6" s="37"/>
      <c r="H6" s="37"/>
      <c r="I6" s="92"/>
      <c r="J6" s="92"/>
      <c r="K6" s="37"/>
      <c r="L6" s="37"/>
      <c r="N6" s="37"/>
      <c r="O6" s="92"/>
    </row>
    <row r="7" spans="1:33" s="18" customFormat="1" ht="15" x14ac:dyDescent="0.25">
      <c r="A7" s="33" t="s">
        <v>132</v>
      </c>
      <c r="B7" s="83">
        <v>16</v>
      </c>
      <c r="C7" s="147" t="str">
        <f>IF(B7&lt;19,"FAIL","Pass")</f>
        <v>FAIL</v>
      </c>
      <c r="D7" s="92"/>
      <c r="E7" s="37"/>
      <c r="F7" s="37"/>
      <c r="H7" s="37"/>
      <c r="I7" s="92"/>
      <c r="J7" s="92"/>
      <c r="K7" s="37"/>
      <c r="L7" s="37"/>
      <c r="N7" s="37"/>
      <c r="O7" s="92"/>
    </row>
    <row r="8" spans="1:33" s="18" customFormat="1" ht="15" x14ac:dyDescent="0.25">
      <c r="A8" s="33" t="s">
        <v>127</v>
      </c>
      <c r="B8" s="83">
        <v>1</v>
      </c>
      <c r="C8" s="147"/>
      <c r="D8" s="92"/>
      <c r="E8" s="37"/>
      <c r="F8" s="37"/>
      <c r="H8" s="37"/>
      <c r="I8" s="92"/>
      <c r="J8" s="92"/>
      <c r="K8" s="37"/>
      <c r="L8" s="37"/>
      <c r="N8" s="37"/>
      <c r="O8" s="92"/>
    </row>
    <row r="9" spans="1:33" s="18" customFormat="1" ht="15" x14ac:dyDescent="0.25">
      <c r="A9" s="33" t="s">
        <v>129</v>
      </c>
      <c r="B9" s="83">
        <v>3</v>
      </c>
      <c r="C9" s="147"/>
      <c r="D9" s="92"/>
      <c r="E9" s="37"/>
      <c r="F9" s="37"/>
      <c r="H9" s="37"/>
      <c r="I9" s="92"/>
      <c r="J9" s="92"/>
      <c r="K9" s="37"/>
      <c r="L9" s="37"/>
      <c r="N9" s="37"/>
      <c r="O9" s="92"/>
    </row>
    <row r="10" spans="1:33" s="18" customFormat="1" ht="15" x14ac:dyDescent="0.25">
      <c r="A10" s="33" t="s">
        <v>130</v>
      </c>
      <c r="B10" s="83">
        <v>8</v>
      </c>
      <c r="C10" s="147"/>
      <c r="D10" s="92"/>
      <c r="E10" s="37"/>
      <c r="F10" s="37"/>
      <c r="H10" s="37"/>
      <c r="I10" s="92"/>
      <c r="J10" s="92"/>
      <c r="K10" s="37"/>
      <c r="L10" s="37"/>
      <c r="N10" s="37"/>
      <c r="O10" s="92"/>
    </row>
    <row r="11" spans="1:33" s="18" customFormat="1" ht="15" x14ac:dyDescent="0.25">
      <c r="A11" s="33"/>
      <c r="B11" s="83"/>
      <c r="C11" s="147"/>
      <c r="D11" s="92"/>
      <c r="E11" s="37"/>
      <c r="F11" s="37"/>
      <c r="H11" s="37"/>
      <c r="I11" s="92"/>
      <c r="J11" s="92"/>
      <c r="K11" s="37"/>
      <c r="L11" s="37"/>
      <c r="N11" s="37"/>
      <c r="O11" s="92"/>
    </row>
    <row r="12" spans="1:33" s="18" customFormat="1" ht="15" x14ac:dyDescent="0.25">
      <c r="A12" s="38" t="s">
        <v>155</v>
      </c>
      <c r="B12" s="192"/>
      <c r="C12" s="147"/>
      <c r="D12" s="92"/>
      <c r="E12" s="37"/>
      <c r="F12" s="37"/>
      <c r="H12" s="37"/>
      <c r="I12" s="92"/>
      <c r="J12" s="92"/>
      <c r="K12" s="37"/>
      <c r="L12" s="37"/>
      <c r="N12" s="37"/>
      <c r="O12" s="92"/>
    </row>
    <row r="13" spans="1:33" s="18" customFormat="1" ht="15" x14ac:dyDescent="0.25">
      <c r="A13" s="38"/>
      <c r="B13" s="83"/>
      <c r="C13" s="147"/>
      <c r="D13" s="92"/>
      <c r="E13" s="37"/>
      <c r="F13" s="37"/>
      <c r="H13" s="37"/>
      <c r="I13" s="92"/>
      <c r="J13" s="92"/>
      <c r="K13" s="37"/>
      <c r="L13" s="37"/>
      <c r="N13" s="37"/>
      <c r="O13" s="92"/>
    </row>
    <row r="14" spans="1:33" s="18" customFormat="1" ht="15" x14ac:dyDescent="0.25">
      <c r="A14" s="17" t="s">
        <v>133</v>
      </c>
      <c r="B14" s="84">
        <f>(B7-(B8+B9+B10))+B6</f>
        <v>11</v>
      </c>
      <c r="C14" s="148" t="str">
        <f>IF(B14&lt;12,"FAIL","Pass")</f>
        <v>FAIL</v>
      </c>
      <c r="D14" s="92"/>
      <c r="E14" s="37"/>
      <c r="F14" s="37"/>
      <c r="H14" s="37"/>
      <c r="I14" s="145"/>
      <c r="J14" s="92"/>
      <c r="K14" s="37"/>
      <c r="L14" s="37"/>
      <c r="N14" s="37"/>
      <c r="O14" s="145"/>
    </row>
    <row r="15" spans="1:33" s="18" customFormat="1" ht="15" x14ac:dyDescent="0.25">
      <c r="A15" s="38"/>
      <c r="B15" s="37"/>
      <c r="C15" s="37"/>
      <c r="D15" s="37"/>
      <c r="E15" s="37"/>
      <c r="F15" s="37"/>
      <c r="G15" s="37"/>
      <c r="H15" s="37"/>
      <c r="I15" s="37"/>
      <c r="J15" s="37"/>
      <c r="K15" s="37"/>
      <c r="L15" s="37"/>
      <c r="M15" s="37"/>
      <c r="N15" s="37"/>
      <c r="O15" s="37"/>
      <c r="P15" s="37"/>
      <c r="Q15" s="37"/>
      <c r="R15" s="37"/>
      <c r="S15" s="37"/>
      <c r="T15" s="37"/>
      <c r="U15" s="37"/>
    </row>
    <row r="16" spans="1:33" s="18" customFormat="1" ht="15" x14ac:dyDescent="0.25">
      <c r="A16" s="38"/>
      <c r="B16" s="37"/>
      <c r="C16" s="37"/>
      <c r="D16" s="37"/>
      <c r="E16" s="37"/>
      <c r="F16" s="37"/>
      <c r="G16" s="37"/>
      <c r="H16" s="37"/>
      <c r="I16" s="37"/>
      <c r="J16" s="37"/>
      <c r="K16" s="37"/>
      <c r="L16" s="37"/>
      <c r="M16" s="37"/>
      <c r="N16" s="37"/>
      <c r="O16" s="37"/>
      <c r="P16" s="37"/>
      <c r="Q16" s="37"/>
      <c r="R16" s="37"/>
      <c r="S16" s="37"/>
      <c r="T16" s="37"/>
      <c r="U16" s="37"/>
    </row>
    <row r="17" spans="3:30" s="18" customFormat="1" ht="15" x14ac:dyDescent="0.25">
      <c r="C17" s="37"/>
    </row>
    <row r="18" spans="3:30" s="18" customFormat="1" ht="15" x14ac:dyDescent="0.25">
      <c r="C18" s="37"/>
    </row>
    <row r="19" spans="3:30" s="18" customFormat="1" ht="15" x14ac:dyDescent="0.25">
      <c r="C19" s="37"/>
    </row>
    <row r="20" spans="3:30" s="18" customFormat="1" ht="15" x14ac:dyDescent="0.25">
      <c r="C20" s="37"/>
      <c r="AB20" s="17"/>
      <c r="AC20" s="17"/>
      <c r="AD20" s="17"/>
    </row>
  </sheetData>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2B1FB-5312-4190-9EC6-D843D6A9FD21}">
  <dimension ref="A1:AG20"/>
  <sheetViews>
    <sheetView showGridLines="0" workbookViewId="0">
      <pane xSplit="1" ySplit="4" topLeftCell="B16" activePane="bottomRight" state="frozen"/>
      <selection pane="topRight" activeCell="B1" sqref="B1"/>
      <selection pane="bottomLeft" activeCell="A8" sqref="A8"/>
      <selection pane="bottomRight" activeCell="S55" sqref="S55"/>
    </sheetView>
  </sheetViews>
  <sheetFormatPr defaultColWidth="8.85546875" defaultRowHeight="11.25" x14ac:dyDescent="0.2"/>
  <cols>
    <col min="1" max="1" width="20.140625" style="30" customWidth="1"/>
    <col min="2" max="2" width="15.42578125" style="30" customWidth="1"/>
    <col min="3" max="3" width="7.140625" style="140" customWidth="1"/>
    <col min="4" max="33" width="7.140625" style="30" customWidth="1"/>
    <col min="34" max="276" width="8.85546875" style="30"/>
    <col min="277" max="277" width="16" style="30" customWidth="1"/>
    <col min="278" max="289" width="5.28515625" style="30" customWidth="1"/>
    <col min="290" max="532" width="8.85546875" style="30"/>
    <col min="533" max="533" width="16" style="30" customWidth="1"/>
    <col min="534" max="545" width="5.28515625" style="30" customWidth="1"/>
    <col min="546" max="788" width="8.85546875" style="30"/>
    <col min="789" max="789" width="16" style="30" customWidth="1"/>
    <col min="790" max="801" width="5.28515625" style="30" customWidth="1"/>
    <col min="802" max="1044" width="8.85546875" style="30"/>
    <col min="1045" max="1045" width="16" style="30" customWidth="1"/>
    <col min="1046" max="1057" width="5.28515625" style="30" customWidth="1"/>
    <col min="1058" max="1300" width="8.85546875" style="30"/>
    <col min="1301" max="1301" width="16" style="30" customWidth="1"/>
    <col min="1302" max="1313" width="5.28515625" style="30" customWidth="1"/>
    <col min="1314" max="1556" width="8.85546875" style="30"/>
    <col min="1557" max="1557" width="16" style="30" customWidth="1"/>
    <col min="1558" max="1569" width="5.28515625" style="30" customWidth="1"/>
    <col min="1570" max="1812" width="8.85546875" style="30"/>
    <col min="1813" max="1813" width="16" style="30" customWidth="1"/>
    <col min="1814" max="1825" width="5.28515625" style="30" customWidth="1"/>
    <col min="1826" max="2068" width="8.85546875" style="30"/>
    <col min="2069" max="2069" width="16" style="30" customWidth="1"/>
    <col min="2070" max="2081" width="5.28515625" style="30" customWidth="1"/>
    <col min="2082" max="2324" width="8.85546875" style="30"/>
    <col min="2325" max="2325" width="16" style="30" customWidth="1"/>
    <col min="2326" max="2337" width="5.28515625" style="30" customWidth="1"/>
    <col min="2338" max="2580" width="8.85546875" style="30"/>
    <col min="2581" max="2581" width="16" style="30" customWidth="1"/>
    <col min="2582" max="2593" width="5.28515625" style="30" customWidth="1"/>
    <col min="2594" max="2836" width="8.85546875" style="30"/>
    <col min="2837" max="2837" width="16" style="30" customWidth="1"/>
    <col min="2838" max="2849" width="5.28515625" style="30" customWidth="1"/>
    <col min="2850" max="3092" width="8.85546875" style="30"/>
    <col min="3093" max="3093" width="16" style="30" customWidth="1"/>
    <col min="3094" max="3105" width="5.28515625" style="30" customWidth="1"/>
    <col min="3106" max="3348" width="8.85546875" style="30"/>
    <col min="3349" max="3349" width="16" style="30" customWidth="1"/>
    <col min="3350" max="3361" width="5.28515625" style="30" customWidth="1"/>
    <col min="3362" max="3604" width="8.85546875" style="30"/>
    <col min="3605" max="3605" width="16" style="30" customWidth="1"/>
    <col min="3606" max="3617" width="5.28515625" style="30" customWidth="1"/>
    <col min="3618" max="3860" width="8.85546875" style="30"/>
    <col min="3861" max="3861" width="16" style="30" customWidth="1"/>
    <col min="3862" max="3873" width="5.28515625" style="30" customWidth="1"/>
    <col min="3874" max="4116" width="8.85546875" style="30"/>
    <col min="4117" max="4117" width="16" style="30" customWidth="1"/>
    <col min="4118" max="4129" width="5.28515625" style="30" customWidth="1"/>
    <col min="4130" max="4372" width="8.85546875" style="30"/>
    <col min="4373" max="4373" width="16" style="30" customWidth="1"/>
    <col min="4374" max="4385" width="5.28515625" style="30" customWidth="1"/>
    <col min="4386" max="4628" width="8.85546875" style="30"/>
    <col min="4629" max="4629" width="16" style="30" customWidth="1"/>
    <col min="4630" max="4641" width="5.28515625" style="30" customWidth="1"/>
    <col min="4642" max="4884" width="8.85546875" style="30"/>
    <col min="4885" max="4885" width="16" style="30" customWidth="1"/>
    <col min="4886" max="4897" width="5.28515625" style="30" customWidth="1"/>
    <col min="4898" max="5140" width="8.85546875" style="30"/>
    <col min="5141" max="5141" width="16" style="30" customWidth="1"/>
    <col min="5142" max="5153" width="5.28515625" style="30" customWidth="1"/>
    <col min="5154" max="5396" width="8.85546875" style="30"/>
    <col min="5397" max="5397" width="16" style="30" customWidth="1"/>
    <col min="5398" max="5409" width="5.28515625" style="30" customWidth="1"/>
    <col min="5410" max="5652" width="8.85546875" style="30"/>
    <col min="5653" max="5653" width="16" style="30" customWidth="1"/>
    <col min="5654" max="5665" width="5.28515625" style="30" customWidth="1"/>
    <col min="5666" max="5908" width="8.85546875" style="30"/>
    <col min="5909" max="5909" width="16" style="30" customWidth="1"/>
    <col min="5910" max="5921" width="5.28515625" style="30" customWidth="1"/>
    <col min="5922" max="6164" width="8.85546875" style="30"/>
    <col min="6165" max="6165" width="16" style="30" customWidth="1"/>
    <col min="6166" max="6177" width="5.28515625" style="30" customWidth="1"/>
    <col min="6178" max="6420" width="8.85546875" style="30"/>
    <col min="6421" max="6421" width="16" style="30" customWidth="1"/>
    <col min="6422" max="6433" width="5.28515625" style="30" customWidth="1"/>
    <col min="6434" max="6676" width="8.85546875" style="30"/>
    <col min="6677" max="6677" width="16" style="30" customWidth="1"/>
    <col min="6678" max="6689" width="5.28515625" style="30" customWidth="1"/>
    <col min="6690" max="6932" width="8.85546875" style="30"/>
    <col min="6933" max="6933" width="16" style="30" customWidth="1"/>
    <col min="6934" max="6945" width="5.28515625" style="30" customWidth="1"/>
    <col min="6946" max="7188" width="8.85546875" style="30"/>
    <col min="7189" max="7189" width="16" style="30" customWidth="1"/>
    <col min="7190" max="7201" width="5.28515625" style="30" customWidth="1"/>
    <col min="7202" max="7444" width="8.85546875" style="30"/>
    <col min="7445" max="7445" width="16" style="30" customWidth="1"/>
    <col min="7446" max="7457" width="5.28515625" style="30" customWidth="1"/>
    <col min="7458" max="7700" width="8.85546875" style="30"/>
    <col min="7701" max="7701" width="16" style="30" customWidth="1"/>
    <col min="7702" max="7713" width="5.28515625" style="30" customWidth="1"/>
    <col min="7714" max="7956" width="8.85546875" style="30"/>
    <col min="7957" max="7957" width="16" style="30" customWidth="1"/>
    <col min="7958" max="7969" width="5.28515625" style="30" customWidth="1"/>
    <col min="7970" max="8212" width="8.85546875" style="30"/>
    <col min="8213" max="8213" width="16" style="30" customWidth="1"/>
    <col min="8214" max="8225" width="5.28515625" style="30" customWidth="1"/>
    <col min="8226" max="8468" width="8.85546875" style="30"/>
    <col min="8469" max="8469" width="16" style="30" customWidth="1"/>
    <col min="8470" max="8481" width="5.28515625" style="30" customWidth="1"/>
    <col min="8482" max="8724" width="8.85546875" style="30"/>
    <col min="8725" max="8725" width="16" style="30" customWidth="1"/>
    <col min="8726" max="8737" width="5.28515625" style="30" customWidth="1"/>
    <col min="8738" max="8980" width="8.85546875" style="30"/>
    <col min="8981" max="8981" width="16" style="30" customWidth="1"/>
    <col min="8982" max="8993" width="5.28515625" style="30" customWidth="1"/>
    <col min="8994" max="9236" width="8.85546875" style="30"/>
    <col min="9237" max="9237" width="16" style="30" customWidth="1"/>
    <col min="9238" max="9249" width="5.28515625" style="30" customWidth="1"/>
    <col min="9250" max="9492" width="8.85546875" style="30"/>
    <col min="9493" max="9493" width="16" style="30" customWidth="1"/>
    <col min="9494" max="9505" width="5.28515625" style="30" customWidth="1"/>
    <col min="9506" max="9748" width="8.85546875" style="30"/>
    <col min="9749" max="9749" width="16" style="30" customWidth="1"/>
    <col min="9750" max="9761" width="5.28515625" style="30" customWidth="1"/>
    <col min="9762" max="10004" width="8.85546875" style="30"/>
    <col min="10005" max="10005" width="16" style="30" customWidth="1"/>
    <col min="10006" max="10017" width="5.28515625" style="30" customWidth="1"/>
    <col min="10018" max="10260" width="8.85546875" style="30"/>
    <col min="10261" max="10261" width="16" style="30" customWidth="1"/>
    <col min="10262" max="10273" width="5.28515625" style="30" customWidth="1"/>
    <col min="10274" max="10516" width="8.85546875" style="30"/>
    <col min="10517" max="10517" width="16" style="30" customWidth="1"/>
    <col min="10518" max="10529" width="5.28515625" style="30" customWidth="1"/>
    <col min="10530" max="10772" width="8.85546875" style="30"/>
    <col min="10773" max="10773" width="16" style="30" customWidth="1"/>
    <col min="10774" max="10785" width="5.28515625" style="30" customWidth="1"/>
    <col min="10786" max="11028" width="8.85546875" style="30"/>
    <col min="11029" max="11029" width="16" style="30" customWidth="1"/>
    <col min="11030" max="11041" width="5.28515625" style="30" customWidth="1"/>
    <col min="11042" max="11284" width="8.85546875" style="30"/>
    <col min="11285" max="11285" width="16" style="30" customWidth="1"/>
    <col min="11286" max="11297" width="5.28515625" style="30" customWidth="1"/>
    <col min="11298" max="11540" width="8.85546875" style="30"/>
    <col min="11541" max="11541" width="16" style="30" customWidth="1"/>
    <col min="11542" max="11553" width="5.28515625" style="30" customWidth="1"/>
    <col min="11554" max="11796" width="8.85546875" style="30"/>
    <col min="11797" max="11797" width="16" style="30" customWidth="1"/>
    <col min="11798" max="11809" width="5.28515625" style="30" customWidth="1"/>
    <col min="11810" max="12052" width="8.85546875" style="30"/>
    <col min="12053" max="12053" width="16" style="30" customWidth="1"/>
    <col min="12054" max="12065" width="5.28515625" style="30" customWidth="1"/>
    <col min="12066" max="12308" width="8.85546875" style="30"/>
    <col min="12309" max="12309" width="16" style="30" customWidth="1"/>
    <col min="12310" max="12321" width="5.28515625" style="30" customWidth="1"/>
    <col min="12322" max="12564" width="8.85546875" style="30"/>
    <col min="12565" max="12565" width="16" style="30" customWidth="1"/>
    <col min="12566" max="12577" width="5.28515625" style="30" customWidth="1"/>
    <col min="12578" max="12820" width="8.85546875" style="30"/>
    <col min="12821" max="12821" width="16" style="30" customWidth="1"/>
    <col min="12822" max="12833" width="5.28515625" style="30" customWidth="1"/>
    <col min="12834" max="13076" width="8.85546875" style="30"/>
    <col min="13077" max="13077" width="16" style="30" customWidth="1"/>
    <col min="13078" max="13089" width="5.28515625" style="30" customWidth="1"/>
    <col min="13090" max="13332" width="8.85546875" style="30"/>
    <col min="13333" max="13333" width="16" style="30" customWidth="1"/>
    <col min="13334" max="13345" width="5.28515625" style="30" customWidth="1"/>
    <col min="13346" max="13588" width="8.85546875" style="30"/>
    <col min="13589" max="13589" width="16" style="30" customWidth="1"/>
    <col min="13590" max="13601" width="5.28515625" style="30" customWidth="1"/>
    <col min="13602" max="13844" width="8.85546875" style="30"/>
    <col min="13845" max="13845" width="16" style="30" customWidth="1"/>
    <col min="13846" max="13857" width="5.28515625" style="30" customWidth="1"/>
    <col min="13858" max="14100" width="8.85546875" style="30"/>
    <col min="14101" max="14101" width="16" style="30" customWidth="1"/>
    <col min="14102" max="14113" width="5.28515625" style="30" customWidth="1"/>
    <col min="14114" max="14356" width="8.85546875" style="30"/>
    <col min="14357" max="14357" width="16" style="30" customWidth="1"/>
    <col min="14358" max="14369" width="5.28515625" style="30" customWidth="1"/>
    <col min="14370" max="14612" width="8.85546875" style="30"/>
    <col min="14613" max="14613" width="16" style="30" customWidth="1"/>
    <col min="14614" max="14625" width="5.28515625" style="30" customWidth="1"/>
    <col min="14626" max="14868" width="8.85546875" style="30"/>
    <col min="14869" max="14869" width="16" style="30" customWidth="1"/>
    <col min="14870" max="14881" width="5.28515625" style="30" customWidth="1"/>
    <col min="14882" max="15124" width="8.85546875" style="30"/>
    <col min="15125" max="15125" width="16" style="30" customWidth="1"/>
    <col min="15126" max="15137" width="5.28515625" style="30" customWidth="1"/>
    <col min="15138" max="15380" width="8.85546875" style="30"/>
    <col min="15381" max="15381" width="16" style="30" customWidth="1"/>
    <col min="15382" max="15393" width="5.28515625" style="30" customWidth="1"/>
    <col min="15394" max="15636" width="8.85546875" style="30"/>
    <col min="15637" max="15637" width="16" style="30" customWidth="1"/>
    <col min="15638" max="15649" width="5.28515625" style="30" customWidth="1"/>
    <col min="15650" max="15892" width="8.85546875" style="30"/>
    <col min="15893" max="15893" width="16" style="30" customWidth="1"/>
    <col min="15894" max="15905" width="5.28515625" style="30" customWidth="1"/>
    <col min="15906" max="16148" width="8.85546875" style="30"/>
    <col min="16149" max="16149" width="16" style="30" customWidth="1"/>
    <col min="16150" max="16161" width="5.28515625" style="30" customWidth="1"/>
    <col min="16162" max="16384" width="8.85546875" style="30"/>
  </cols>
  <sheetData>
    <row r="1" spans="1:33" s="3" customFormat="1" ht="21" x14ac:dyDescent="0.35">
      <c r="A1" s="10" t="s">
        <v>305</v>
      </c>
      <c r="B1" s="29"/>
      <c r="C1" s="139"/>
      <c r="D1" s="29"/>
      <c r="E1" s="29"/>
      <c r="F1" s="29"/>
      <c r="G1" s="29"/>
      <c r="H1" s="29"/>
    </row>
    <row r="2" spans="1:33" ht="15" customHeight="1" x14ac:dyDescent="0.2"/>
    <row r="3" spans="1:33" ht="24" customHeight="1" x14ac:dyDescent="0.45">
      <c r="B3" s="194" t="s">
        <v>268</v>
      </c>
      <c r="I3" s="31"/>
    </row>
    <row r="4" spans="1:33" ht="15.75" customHeight="1" x14ac:dyDescent="0.25">
      <c r="A4" s="17"/>
      <c r="C4" s="141"/>
      <c r="D4" s="34"/>
      <c r="E4" s="32"/>
      <c r="F4" s="32"/>
      <c r="G4" s="32"/>
      <c r="I4" s="33"/>
      <c r="J4" s="32"/>
      <c r="K4" s="32"/>
      <c r="L4" s="32"/>
      <c r="M4" s="32"/>
      <c r="N4" s="32"/>
      <c r="O4" s="32"/>
      <c r="P4" s="32"/>
      <c r="Q4" s="32"/>
      <c r="R4" s="32"/>
      <c r="S4" s="32"/>
      <c r="T4" s="32"/>
      <c r="U4" s="32"/>
      <c r="V4" s="32"/>
      <c r="W4" s="32"/>
      <c r="X4" s="32"/>
      <c r="Y4" s="32"/>
      <c r="Z4" s="32"/>
      <c r="AA4" s="32"/>
      <c r="AB4" s="32"/>
      <c r="AC4" s="32"/>
      <c r="AD4" s="32"/>
      <c r="AE4" s="32"/>
      <c r="AF4" s="32"/>
      <c r="AG4" s="32"/>
    </row>
    <row r="5" spans="1:33" ht="15" x14ac:dyDescent="0.25">
      <c r="A5" s="17"/>
      <c r="B5" s="193" t="s">
        <v>269</v>
      </c>
      <c r="C5" s="92"/>
      <c r="D5" s="97"/>
      <c r="E5" s="97"/>
      <c r="F5" s="97"/>
      <c r="G5" s="98"/>
      <c r="H5" s="92"/>
      <c r="I5" s="93"/>
      <c r="J5" s="97"/>
      <c r="K5" s="97"/>
      <c r="L5" s="97"/>
      <c r="M5" s="98"/>
      <c r="N5" s="92"/>
      <c r="O5" s="93"/>
    </row>
    <row r="6" spans="1:33" s="18" customFormat="1" ht="15" x14ac:dyDescent="0.25">
      <c r="A6" s="33"/>
      <c r="B6" s="82"/>
      <c r="C6" s="146"/>
      <c r="D6" s="92"/>
      <c r="E6" s="37"/>
      <c r="F6" s="37"/>
      <c r="H6" s="37"/>
      <c r="I6" s="92"/>
      <c r="J6" s="92"/>
      <c r="K6" s="37"/>
      <c r="L6" s="37"/>
      <c r="N6" s="37"/>
      <c r="O6" s="92"/>
    </row>
    <row r="7" spans="1:33" s="18" customFormat="1" ht="15" x14ac:dyDescent="0.25">
      <c r="A7" s="33"/>
      <c r="B7" s="83"/>
      <c r="C7" s="147"/>
      <c r="D7" s="92"/>
      <c r="E7" s="37"/>
      <c r="F7" s="37"/>
      <c r="H7" s="37"/>
      <c r="I7" s="92"/>
      <c r="J7" s="92"/>
      <c r="K7" s="37"/>
      <c r="L7" s="37"/>
      <c r="N7" s="37"/>
      <c r="O7" s="92"/>
    </row>
    <row r="8" spans="1:33" s="18" customFormat="1" ht="15" x14ac:dyDescent="0.25">
      <c r="A8" s="33"/>
      <c r="B8" s="83"/>
      <c r="C8" s="147"/>
      <c r="D8" s="92"/>
      <c r="E8" s="37"/>
      <c r="F8" s="37"/>
      <c r="H8" s="37"/>
      <c r="I8" s="92"/>
      <c r="J8" s="92"/>
      <c r="K8" s="37"/>
      <c r="L8" s="37"/>
      <c r="N8" s="37"/>
      <c r="O8" s="92"/>
    </row>
    <row r="9" spans="1:33" s="18" customFormat="1" ht="15" x14ac:dyDescent="0.25">
      <c r="A9" s="33"/>
      <c r="B9" s="83"/>
      <c r="C9" s="147"/>
      <c r="D9" s="92"/>
      <c r="E9" s="37"/>
      <c r="F9" s="37"/>
      <c r="H9" s="37"/>
      <c r="I9" s="92"/>
      <c r="J9" s="92"/>
      <c r="K9" s="37"/>
      <c r="L9" s="37"/>
      <c r="N9" s="37"/>
      <c r="O9" s="92"/>
    </row>
    <row r="10" spans="1:33" s="18" customFormat="1" ht="15" x14ac:dyDescent="0.25">
      <c r="A10" s="33"/>
      <c r="B10" s="83"/>
      <c r="C10" s="147"/>
      <c r="D10" s="92"/>
      <c r="E10" s="37"/>
      <c r="F10" s="37"/>
      <c r="H10" s="37"/>
      <c r="I10" s="92"/>
      <c r="J10" s="92"/>
      <c r="K10" s="37"/>
      <c r="L10" s="37"/>
      <c r="N10" s="37"/>
      <c r="O10" s="92"/>
    </row>
    <row r="11" spans="1:33" s="18" customFormat="1" ht="15" x14ac:dyDescent="0.25">
      <c r="A11" s="33"/>
      <c r="B11" s="83"/>
      <c r="C11" s="147"/>
      <c r="D11" s="92"/>
      <c r="E11" s="37"/>
      <c r="F11" s="37"/>
      <c r="H11" s="37"/>
      <c r="I11" s="92"/>
      <c r="J11" s="92"/>
      <c r="K11" s="37"/>
      <c r="L11" s="37"/>
      <c r="N11" s="37"/>
      <c r="O11" s="92"/>
    </row>
    <row r="12" spans="1:33" s="18" customFormat="1" ht="15" x14ac:dyDescent="0.25">
      <c r="A12" s="38"/>
      <c r="B12" s="192"/>
      <c r="C12" s="147"/>
      <c r="D12" s="92"/>
      <c r="E12" s="37"/>
      <c r="F12" s="37"/>
      <c r="H12" s="37"/>
      <c r="I12" s="92"/>
      <c r="J12" s="92"/>
      <c r="K12" s="37"/>
      <c r="L12" s="37"/>
      <c r="N12" s="37"/>
      <c r="O12" s="92"/>
    </row>
    <row r="13" spans="1:33" s="18" customFormat="1" ht="15" x14ac:dyDescent="0.25">
      <c r="A13" s="38"/>
      <c r="B13" s="83"/>
      <c r="C13" s="147"/>
      <c r="D13" s="92"/>
      <c r="E13" s="37"/>
      <c r="F13" s="37"/>
      <c r="H13" s="37"/>
      <c r="I13" s="92"/>
      <c r="J13" s="92"/>
      <c r="K13" s="37"/>
      <c r="L13" s="37"/>
      <c r="N13" s="37"/>
      <c r="O13" s="92"/>
    </row>
    <row r="14" spans="1:33" s="18" customFormat="1" ht="15" x14ac:dyDescent="0.25">
      <c r="A14" s="17"/>
      <c r="B14" s="84"/>
      <c r="C14" s="148"/>
      <c r="D14" s="92"/>
      <c r="E14" s="37"/>
      <c r="F14" s="37"/>
      <c r="H14" s="37"/>
      <c r="I14" s="145"/>
      <c r="J14" s="92"/>
      <c r="K14" s="37"/>
      <c r="L14" s="37"/>
      <c r="N14" s="37"/>
      <c r="O14" s="145"/>
    </row>
    <row r="15" spans="1:33" s="18" customFormat="1" ht="15" x14ac:dyDescent="0.25">
      <c r="A15" s="38"/>
      <c r="B15" s="37"/>
      <c r="C15" s="37"/>
      <c r="D15" s="37"/>
      <c r="E15" s="37"/>
      <c r="F15" s="37"/>
      <c r="G15" s="37"/>
      <c r="H15" s="37"/>
      <c r="I15" s="37"/>
      <c r="J15" s="37"/>
      <c r="K15" s="37"/>
      <c r="L15" s="37"/>
      <c r="M15" s="37"/>
      <c r="N15" s="37"/>
      <c r="O15" s="37"/>
      <c r="P15" s="37"/>
      <c r="Q15" s="37"/>
      <c r="R15" s="37"/>
      <c r="S15" s="37"/>
      <c r="T15" s="37"/>
      <c r="U15" s="37"/>
    </row>
    <row r="16" spans="1:33" s="18" customFormat="1" ht="15" x14ac:dyDescent="0.25">
      <c r="A16" s="38"/>
      <c r="B16" s="37"/>
      <c r="C16" s="37"/>
      <c r="D16" s="37"/>
      <c r="E16" s="37"/>
      <c r="F16" s="37"/>
      <c r="G16" s="37"/>
      <c r="H16" s="37"/>
      <c r="I16" s="37"/>
      <c r="J16" s="37"/>
      <c r="K16" s="37"/>
      <c r="L16" s="37"/>
      <c r="M16" s="37"/>
      <c r="N16" s="37"/>
      <c r="O16" s="37"/>
      <c r="P16" s="37"/>
      <c r="Q16" s="37"/>
      <c r="R16" s="37"/>
      <c r="S16" s="37"/>
      <c r="T16" s="37"/>
      <c r="U16" s="37"/>
    </row>
    <row r="17" spans="3:30" s="18" customFormat="1" ht="15" x14ac:dyDescent="0.25">
      <c r="C17" s="37"/>
    </row>
    <row r="18" spans="3:30" s="18" customFormat="1" ht="15" x14ac:dyDescent="0.25">
      <c r="C18" s="37"/>
    </row>
    <row r="19" spans="3:30" s="18" customFormat="1" ht="15" x14ac:dyDescent="0.25">
      <c r="C19" s="37"/>
    </row>
    <row r="20" spans="3:30" s="18" customFormat="1" ht="15" x14ac:dyDescent="0.25">
      <c r="C20" s="37"/>
      <c r="AB20" s="17"/>
      <c r="AC20" s="17"/>
      <c r="AD20" s="17"/>
    </row>
  </sheetData>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8"/>
  <sheetViews>
    <sheetView showGridLines="0" workbookViewId="0">
      <pane xSplit="1" ySplit="3" topLeftCell="B4" activePane="bottomRight" state="frozen"/>
      <selection pane="topRight" activeCell="B1" sqref="B1"/>
      <selection pane="bottomLeft" activeCell="A4" sqref="A4"/>
      <selection pane="bottomRight" activeCell="C10" sqref="C10"/>
    </sheetView>
  </sheetViews>
  <sheetFormatPr defaultRowHeight="15" x14ac:dyDescent="0.25"/>
  <cols>
    <col min="1" max="1" width="30.7109375" customWidth="1"/>
    <col min="2" max="2" width="27.140625" customWidth="1"/>
    <col min="3" max="3" width="23.140625" style="6" customWidth="1"/>
    <col min="4" max="6" width="14.28515625" customWidth="1"/>
    <col min="7" max="7" width="14.28515625" style="11" customWidth="1"/>
    <col min="8" max="8" width="14.28515625" style="8" customWidth="1"/>
    <col min="9" max="9" width="90" customWidth="1"/>
  </cols>
  <sheetData>
    <row r="1" spans="1:13" ht="20.25" x14ac:dyDescent="0.3">
      <c r="A1" s="55" t="s">
        <v>0</v>
      </c>
      <c r="B1" s="1"/>
      <c r="C1" s="7"/>
      <c r="D1" s="2"/>
      <c r="E1" s="2"/>
      <c r="F1" s="2"/>
      <c r="G1" s="12"/>
      <c r="H1" s="13"/>
      <c r="I1" s="2"/>
      <c r="J1" s="2"/>
      <c r="K1" s="2"/>
      <c r="L1" s="2"/>
      <c r="M1" s="2"/>
    </row>
    <row r="3" spans="1:13" x14ac:dyDescent="0.25">
      <c r="A3" s="298" t="s">
        <v>17</v>
      </c>
      <c r="B3" s="298"/>
      <c r="C3" s="299"/>
      <c r="D3" s="299"/>
      <c r="E3" s="299"/>
      <c r="F3" s="299"/>
      <c r="G3" s="299"/>
      <c r="H3" s="299"/>
      <c r="I3" s="48" t="s">
        <v>159</v>
      </c>
    </row>
    <row r="4" spans="1:13" x14ac:dyDescent="0.25">
      <c r="A4" s="117" t="s">
        <v>24</v>
      </c>
      <c r="B4" s="120" t="s">
        <v>15</v>
      </c>
      <c r="C4" s="138" t="s">
        <v>14</v>
      </c>
      <c r="D4" s="120" t="s">
        <v>1</v>
      </c>
      <c r="E4" s="120" t="s">
        <v>2</v>
      </c>
      <c r="F4" s="120" t="s">
        <v>13</v>
      </c>
      <c r="G4" s="128" t="s">
        <v>11</v>
      </c>
      <c r="H4" s="66" t="s">
        <v>12</v>
      </c>
      <c r="I4" s="132" t="s">
        <v>158</v>
      </c>
    </row>
    <row r="5" spans="1:13" x14ac:dyDescent="0.25">
      <c r="A5" s="118" t="s">
        <v>6</v>
      </c>
      <c r="B5" s="121">
        <v>55</v>
      </c>
      <c r="C5" s="136">
        <v>17</v>
      </c>
      <c r="D5" s="125">
        <v>26</v>
      </c>
      <c r="E5" s="125">
        <v>4.2</v>
      </c>
      <c r="F5" s="125">
        <f>(C5-D5)/E5</f>
        <v>-2.1428571428571428</v>
      </c>
      <c r="G5" s="129">
        <f>F5*15+100</f>
        <v>67.857142857142861</v>
      </c>
      <c r="H5" s="125">
        <f>NORMSDIST(F5)*100</f>
        <v>1.6062285603828323</v>
      </c>
      <c r="I5" s="118"/>
    </row>
    <row r="6" spans="1:13" x14ac:dyDescent="0.25">
      <c r="A6" s="118" t="s">
        <v>7</v>
      </c>
      <c r="B6" s="121">
        <v>67</v>
      </c>
      <c r="C6" s="136">
        <v>17</v>
      </c>
      <c r="D6" s="125">
        <v>26.4</v>
      </c>
      <c r="E6" s="125">
        <v>3.2</v>
      </c>
      <c r="F6" s="125">
        <f t="shared" ref="F6:F15" si="0">(C6-D6)/E6</f>
        <v>-2.9374999999999996</v>
      </c>
      <c r="G6" s="129">
        <f t="shared" ref="G6:G15" si="1">F6*15+100</f>
        <v>55.937500000000007</v>
      </c>
      <c r="H6" s="125">
        <f t="shared" ref="H6:H15" si="2">NORMSDIST(F6)*100</f>
        <v>0.16543508595475076</v>
      </c>
      <c r="I6" s="118"/>
    </row>
    <row r="7" spans="1:13" x14ac:dyDescent="0.25">
      <c r="A7" s="118" t="s">
        <v>9</v>
      </c>
      <c r="B7" s="121">
        <v>122</v>
      </c>
      <c r="C7" s="136">
        <v>30</v>
      </c>
      <c r="D7" s="125">
        <v>26.2</v>
      </c>
      <c r="E7" s="125">
        <v>3.6</v>
      </c>
      <c r="F7" s="125">
        <f t="shared" si="0"/>
        <v>1.0555555555555558</v>
      </c>
      <c r="G7" s="129">
        <f t="shared" si="1"/>
        <v>115.83333333333334</v>
      </c>
      <c r="H7" s="125">
        <f t="shared" si="2"/>
        <v>85.441434237734597</v>
      </c>
      <c r="I7" s="118"/>
    </row>
    <row r="8" spans="1:13" x14ac:dyDescent="0.25">
      <c r="A8" s="118"/>
      <c r="B8" s="122"/>
      <c r="C8" s="124"/>
      <c r="D8" s="126"/>
      <c r="E8" s="126"/>
      <c r="F8" s="126"/>
      <c r="G8" s="130"/>
      <c r="H8" s="126"/>
      <c r="I8" s="118"/>
    </row>
    <row r="9" spans="1:13" x14ac:dyDescent="0.25">
      <c r="A9" s="118" t="s">
        <v>3</v>
      </c>
      <c r="B9" s="121">
        <v>53</v>
      </c>
      <c r="C9" s="136">
        <v>17</v>
      </c>
      <c r="D9" s="125">
        <v>27.3</v>
      </c>
      <c r="E9" s="125">
        <v>3.7</v>
      </c>
      <c r="F9" s="125">
        <f t="shared" si="0"/>
        <v>-2.7837837837837838</v>
      </c>
      <c r="G9" s="129">
        <f t="shared" si="1"/>
        <v>58.243243243243242</v>
      </c>
      <c r="H9" s="125">
        <f t="shared" si="2"/>
        <v>0.26864418834071974</v>
      </c>
      <c r="I9" s="118"/>
    </row>
    <row r="10" spans="1:13" x14ac:dyDescent="0.25">
      <c r="A10" s="118" t="s">
        <v>4</v>
      </c>
      <c r="B10" s="121">
        <v>50</v>
      </c>
      <c r="C10" s="136">
        <v>17</v>
      </c>
      <c r="D10" s="125">
        <v>28.6</v>
      </c>
      <c r="E10" s="125">
        <v>3.2</v>
      </c>
      <c r="F10" s="125">
        <f t="shared" si="0"/>
        <v>-3.6250000000000004</v>
      </c>
      <c r="G10" s="129">
        <f t="shared" si="1"/>
        <v>45.624999999999993</v>
      </c>
      <c r="H10" s="125">
        <f t="shared" si="2"/>
        <v>1.4448072588123554E-2</v>
      </c>
      <c r="I10" s="118"/>
    </row>
    <row r="11" spans="1:13" x14ac:dyDescent="0.25">
      <c r="A11" s="118" t="s">
        <v>5</v>
      </c>
      <c r="B11" s="121">
        <v>103</v>
      </c>
      <c r="C11" s="136">
        <v>30</v>
      </c>
      <c r="D11" s="125">
        <v>28</v>
      </c>
      <c r="E11" s="125">
        <v>3.5</v>
      </c>
      <c r="F11" s="125">
        <f t="shared" si="0"/>
        <v>0.5714285714285714</v>
      </c>
      <c r="G11" s="129">
        <f t="shared" si="1"/>
        <v>108.57142857142857</v>
      </c>
      <c r="H11" s="125">
        <f t="shared" si="2"/>
        <v>71.61454169013237</v>
      </c>
      <c r="I11" s="118"/>
    </row>
    <row r="12" spans="1:13" x14ac:dyDescent="0.25">
      <c r="A12" s="118"/>
      <c r="B12" s="122"/>
      <c r="C12" s="122"/>
      <c r="D12" s="126"/>
      <c r="E12" s="126"/>
      <c r="F12" s="126"/>
      <c r="G12" s="130"/>
      <c r="H12" s="126"/>
      <c r="I12" s="118"/>
    </row>
    <row r="13" spans="1:13" x14ac:dyDescent="0.25">
      <c r="A13" s="118" t="s">
        <v>10</v>
      </c>
      <c r="B13" s="121">
        <v>14</v>
      </c>
      <c r="C13" s="136">
        <v>33</v>
      </c>
      <c r="D13" s="125">
        <v>30.9</v>
      </c>
      <c r="E13" s="125">
        <v>3</v>
      </c>
      <c r="F13" s="125">
        <f t="shared" si="0"/>
        <v>0.70000000000000051</v>
      </c>
      <c r="G13" s="129">
        <f t="shared" si="1"/>
        <v>110.5</v>
      </c>
      <c r="H13" s="125">
        <f t="shared" si="2"/>
        <v>75.803634777692722</v>
      </c>
      <c r="I13" s="133" t="s">
        <v>156</v>
      </c>
    </row>
    <row r="14" spans="1:13" x14ac:dyDescent="0.25">
      <c r="A14" s="118"/>
      <c r="B14" s="122"/>
      <c r="C14" s="122"/>
      <c r="D14" s="126"/>
      <c r="E14" s="126"/>
      <c r="F14" s="126"/>
      <c r="G14" s="130"/>
      <c r="H14" s="126"/>
      <c r="I14" s="118"/>
    </row>
    <row r="15" spans="1:13" x14ac:dyDescent="0.25">
      <c r="A15" s="119" t="s">
        <v>8</v>
      </c>
      <c r="B15" s="123">
        <v>15</v>
      </c>
      <c r="C15" s="137">
        <v>17</v>
      </c>
      <c r="D15" s="127">
        <v>21.9</v>
      </c>
      <c r="E15" s="127">
        <v>6.6</v>
      </c>
      <c r="F15" s="127">
        <f t="shared" si="0"/>
        <v>-0.74242424242424221</v>
      </c>
      <c r="G15" s="131">
        <f t="shared" si="1"/>
        <v>88.863636363636374</v>
      </c>
      <c r="H15" s="127">
        <f t="shared" si="2"/>
        <v>22.891516802866764</v>
      </c>
      <c r="I15" s="134" t="s">
        <v>157</v>
      </c>
    </row>
    <row r="17" spans="1:9" x14ac:dyDescent="0.25">
      <c r="A17" s="298" t="s">
        <v>23</v>
      </c>
      <c r="B17" s="298"/>
      <c r="C17" s="299"/>
      <c r="D17" s="299"/>
      <c r="E17" s="299"/>
      <c r="F17" s="299"/>
      <c r="G17" s="299"/>
      <c r="H17" s="299"/>
      <c r="I17" s="48" t="s">
        <v>16</v>
      </c>
    </row>
    <row r="18" spans="1:9" x14ac:dyDescent="0.25">
      <c r="A18" s="117" t="s">
        <v>25</v>
      </c>
      <c r="B18" s="120" t="s">
        <v>15</v>
      </c>
      <c r="C18" s="138" t="s">
        <v>14</v>
      </c>
      <c r="D18" s="120" t="s">
        <v>1</v>
      </c>
      <c r="E18" s="120" t="s">
        <v>2</v>
      </c>
      <c r="F18" s="120" t="s">
        <v>13</v>
      </c>
      <c r="G18" s="128" t="s">
        <v>11</v>
      </c>
      <c r="H18" s="66" t="s">
        <v>12</v>
      </c>
      <c r="I18" s="132" t="s">
        <v>160</v>
      </c>
    </row>
    <row r="19" spans="1:9" x14ac:dyDescent="0.25">
      <c r="A19" s="118"/>
      <c r="B19" s="118"/>
      <c r="C19" s="122"/>
      <c r="D19" s="118"/>
      <c r="E19" s="118"/>
      <c r="F19" s="118"/>
      <c r="G19" s="130"/>
      <c r="H19" s="126"/>
      <c r="I19" s="118"/>
    </row>
    <row r="20" spans="1:9" x14ac:dyDescent="0.25">
      <c r="A20" s="118" t="s">
        <v>18</v>
      </c>
      <c r="B20" s="121">
        <v>138</v>
      </c>
      <c r="C20" s="136">
        <v>30</v>
      </c>
      <c r="D20" s="121">
        <v>26</v>
      </c>
      <c r="E20" s="121">
        <v>3.2</v>
      </c>
      <c r="F20" s="125">
        <f>(C20-D20)/E20</f>
        <v>1.25</v>
      </c>
      <c r="G20" s="129">
        <f>F20*15+100</f>
        <v>118.75</v>
      </c>
      <c r="H20" s="125">
        <f>NORMSDIST(F20)*100</f>
        <v>89.435022633314475</v>
      </c>
      <c r="I20" s="118"/>
    </row>
    <row r="21" spans="1:9" x14ac:dyDescent="0.25">
      <c r="A21" s="118"/>
      <c r="B21" s="122"/>
      <c r="C21" s="122"/>
      <c r="D21" s="122"/>
      <c r="E21" s="122"/>
      <c r="F21" s="126"/>
      <c r="G21" s="130"/>
      <c r="H21" s="126"/>
      <c r="I21" s="118"/>
    </row>
    <row r="22" spans="1:9" x14ac:dyDescent="0.25">
      <c r="A22" s="118" t="s">
        <v>19</v>
      </c>
      <c r="B22" s="121">
        <v>144</v>
      </c>
      <c r="C22" s="136">
        <v>17</v>
      </c>
      <c r="D22" s="121">
        <v>24.7</v>
      </c>
      <c r="E22" s="121">
        <v>3.2</v>
      </c>
      <c r="F22" s="125">
        <f t="shared" ref="F22:F28" si="3">(C22-D22)/E22</f>
        <v>-2.4062499999999996</v>
      </c>
      <c r="G22" s="129">
        <f t="shared" ref="G22:G28" si="4">F22*15+100</f>
        <v>63.906250000000007</v>
      </c>
      <c r="H22" s="125">
        <f t="shared" ref="H22:H28" si="5">NORMSDIST(F22)*100</f>
        <v>0.80586155258070424</v>
      </c>
      <c r="I22" s="118"/>
    </row>
    <row r="23" spans="1:9" x14ac:dyDescent="0.25">
      <c r="A23" s="118"/>
      <c r="B23" s="122"/>
      <c r="C23" s="122"/>
      <c r="D23" s="122"/>
      <c r="E23" s="122"/>
      <c r="F23" s="126"/>
      <c r="G23" s="130"/>
      <c r="H23" s="126"/>
      <c r="I23" s="118"/>
    </row>
    <row r="24" spans="1:9" x14ac:dyDescent="0.25">
      <c r="A24" s="135" t="s">
        <v>20</v>
      </c>
      <c r="B24" s="121">
        <v>177</v>
      </c>
      <c r="C24" s="136">
        <v>33</v>
      </c>
      <c r="D24" s="121">
        <v>24.1</v>
      </c>
      <c r="E24" s="121">
        <v>3.3</v>
      </c>
      <c r="F24" s="125">
        <f t="shared" si="3"/>
        <v>2.6969696969696968</v>
      </c>
      <c r="G24" s="129">
        <f t="shared" si="4"/>
        <v>140.45454545454544</v>
      </c>
      <c r="H24" s="125">
        <f t="shared" si="5"/>
        <v>99.650131811705251</v>
      </c>
      <c r="I24" s="118"/>
    </row>
    <row r="25" spans="1:9" x14ac:dyDescent="0.25">
      <c r="A25" s="118"/>
      <c r="B25" s="122"/>
      <c r="C25" s="122"/>
      <c r="D25" s="122"/>
      <c r="E25" s="122"/>
      <c r="F25" s="126"/>
      <c r="G25" s="130"/>
      <c r="H25" s="126"/>
      <c r="I25" s="118"/>
    </row>
    <row r="26" spans="1:9" x14ac:dyDescent="0.25">
      <c r="A26" s="118" t="s">
        <v>21</v>
      </c>
      <c r="B26" s="121">
        <v>180</v>
      </c>
      <c r="C26" s="136">
        <v>26</v>
      </c>
      <c r="D26" s="121">
        <v>23.4</v>
      </c>
      <c r="E26" s="121">
        <v>3.2</v>
      </c>
      <c r="F26" s="125">
        <f t="shared" si="3"/>
        <v>0.81250000000000044</v>
      </c>
      <c r="G26" s="129">
        <f t="shared" si="4"/>
        <v>112.1875</v>
      </c>
      <c r="H26" s="125">
        <f t="shared" si="5"/>
        <v>79.174760671189119</v>
      </c>
      <c r="I26" s="118"/>
    </row>
    <row r="27" spans="1:9" x14ac:dyDescent="0.25">
      <c r="A27" s="118"/>
      <c r="B27" s="122"/>
      <c r="C27" s="122"/>
      <c r="D27" s="122"/>
      <c r="E27" s="122"/>
      <c r="F27" s="126"/>
      <c r="G27" s="130"/>
      <c r="H27" s="126"/>
      <c r="I27" s="118"/>
    </row>
    <row r="28" spans="1:9" x14ac:dyDescent="0.25">
      <c r="A28" s="119" t="s">
        <v>22</v>
      </c>
      <c r="B28" s="123">
        <v>327</v>
      </c>
      <c r="C28" s="137">
        <v>31</v>
      </c>
      <c r="D28" s="123">
        <v>22.4</v>
      </c>
      <c r="E28" s="123">
        <v>3.8</v>
      </c>
      <c r="F28" s="127">
        <f t="shared" si="3"/>
        <v>2.2631578947368425</v>
      </c>
      <c r="G28" s="131">
        <f t="shared" si="4"/>
        <v>133.94736842105263</v>
      </c>
      <c r="H28" s="127">
        <f t="shared" si="5"/>
        <v>98.818702113580116</v>
      </c>
      <c r="I28" s="119" t="s">
        <v>178</v>
      </c>
    </row>
  </sheetData>
  <mergeCells count="2">
    <mergeCell ref="A3:H3"/>
    <mergeCell ref="A17:H17"/>
  </mergeCells>
  <hyperlinks>
    <hyperlink ref="I4" r:id="rId1" xr:uid="{00000000-0004-0000-0A00-000000000000}"/>
    <hyperlink ref="I18" r:id="rId2" display="Link to PDF of paper (Kynast et al., 2021)" xr:uid="{00000000-0004-0000-0A00-000001000000}"/>
  </hyperlinks>
  <pageMargins left="0.7" right="0.7" top="0.75" bottom="0.75" header="0.3" footer="0.3"/>
  <pageSetup paperSize="9"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24"/>
  <sheetViews>
    <sheetView showGridLines="0" workbookViewId="0">
      <pane ySplit="1" topLeftCell="A2" activePane="bottomLeft" state="frozen"/>
      <selection pane="bottomLeft" activeCell="D17" sqref="D17"/>
    </sheetView>
  </sheetViews>
  <sheetFormatPr defaultRowHeight="15" x14ac:dyDescent="0.25"/>
  <cols>
    <col min="1" max="1" width="39.5703125" customWidth="1"/>
    <col min="2" max="2" width="20.140625" customWidth="1"/>
    <col min="3" max="6" width="14.28515625" customWidth="1"/>
  </cols>
  <sheetData>
    <row r="1" spans="1:11" ht="20.25" x14ac:dyDescent="0.3">
      <c r="A1" s="55" t="s">
        <v>161</v>
      </c>
      <c r="B1" s="2"/>
      <c r="C1" s="2"/>
      <c r="D1" s="2"/>
      <c r="E1" s="2"/>
      <c r="F1" s="2"/>
      <c r="G1" s="2"/>
      <c r="H1" s="2"/>
      <c r="I1" s="2"/>
      <c r="J1" s="2"/>
      <c r="K1" s="2"/>
    </row>
    <row r="3" spans="1:11" x14ac:dyDescent="0.25">
      <c r="A3" s="3" t="s">
        <v>163</v>
      </c>
      <c r="B3" s="4"/>
    </row>
    <row r="4" spans="1:11" x14ac:dyDescent="0.25">
      <c r="A4" s="3" t="s">
        <v>169</v>
      </c>
      <c r="B4" s="15" t="s">
        <v>162</v>
      </c>
    </row>
    <row r="5" spans="1:11" x14ac:dyDescent="0.25">
      <c r="A5" s="3"/>
      <c r="B5" s="5"/>
    </row>
    <row r="6" spans="1:11" x14ac:dyDescent="0.25">
      <c r="A6" s="300" t="s">
        <v>170</v>
      </c>
      <c r="B6" s="301"/>
      <c r="C6" s="301"/>
      <c r="D6" s="301"/>
      <c r="E6" s="302"/>
      <c r="F6" s="302"/>
    </row>
    <row r="7" spans="1:11" x14ac:dyDescent="0.25">
      <c r="A7" s="49" t="s">
        <v>99</v>
      </c>
      <c r="B7" s="19" t="s">
        <v>172</v>
      </c>
      <c r="C7" s="19" t="s">
        <v>13</v>
      </c>
      <c r="D7" s="19" t="s">
        <v>71</v>
      </c>
      <c r="E7" s="19" t="s">
        <v>11</v>
      </c>
      <c r="F7" s="19" t="s">
        <v>12</v>
      </c>
    </row>
    <row r="8" spans="1:11" x14ac:dyDescent="0.25">
      <c r="A8" s="25" t="s">
        <v>164</v>
      </c>
      <c r="B8" s="22">
        <v>9</v>
      </c>
      <c r="C8" s="24">
        <f>(B8-10)/3</f>
        <v>-0.33333333333333331</v>
      </c>
      <c r="D8" s="24">
        <f>(C8*10)+50</f>
        <v>46.666666666666664</v>
      </c>
      <c r="E8" s="24">
        <f>(C8*15)+100</f>
        <v>95</v>
      </c>
      <c r="F8" s="24">
        <f>NORMSDIST(C8)*100</f>
        <v>36.944134018176364</v>
      </c>
    </row>
    <row r="9" spans="1:11" x14ac:dyDescent="0.25">
      <c r="A9" s="25" t="s">
        <v>165</v>
      </c>
      <c r="B9" s="22">
        <v>10</v>
      </c>
      <c r="C9" s="24">
        <f>(B9-10)/3</f>
        <v>0</v>
      </c>
      <c r="D9" s="24">
        <f>(C9*10)+50</f>
        <v>50</v>
      </c>
      <c r="E9" s="24">
        <f>(C9*15)+100</f>
        <v>100</v>
      </c>
      <c r="F9" s="24">
        <f>NORMSDIST(C9)*100</f>
        <v>50</v>
      </c>
    </row>
    <row r="10" spans="1:11" x14ac:dyDescent="0.25">
      <c r="A10" s="51" t="s">
        <v>166</v>
      </c>
      <c r="B10" s="23" t="s">
        <v>322</v>
      </c>
      <c r="C10" s="23">
        <f>(D10-50)/10</f>
        <v>-0.25700000000000073</v>
      </c>
      <c r="D10" s="23">
        <f>0.57*D8+0.57*D9-7.67</f>
        <v>47.429999999999993</v>
      </c>
      <c r="E10" s="24">
        <f>(C10*15)+100</f>
        <v>96.144999999999982</v>
      </c>
      <c r="F10" s="24">
        <f>NORMSDIST(C10)*100</f>
        <v>39.858938653611595</v>
      </c>
    </row>
    <row r="11" spans="1:11" x14ac:dyDescent="0.25">
      <c r="B11" s="4"/>
      <c r="C11" s="6"/>
      <c r="D11" s="6"/>
    </row>
    <row r="12" spans="1:11" x14ac:dyDescent="0.25">
      <c r="A12" s="300" t="s">
        <v>171</v>
      </c>
      <c r="B12" s="301"/>
      <c r="C12" s="301"/>
      <c r="D12" s="301"/>
      <c r="E12" s="302"/>
      <c r="F12" s="302"/>
    </row>
    <row r="13" spans="1:11" x14ac:dyDescent="0.25">
      <c r="A13" s="52" t="s">
        <v>99</v>
      </c>
      <c r="B13" s="19" t="s">
        <v>172</v>
      </c>
      <c r="C13" s="19" t="s">
        <v>13</v>
      </c>
      <c r="D13" s="19" t="s">
        <v>71</v>
      </c>
      <c r="E13" s="19" t="s">
        <v>11</v>
      </c>
      <c r="F13" s="19" t="s">
        <v>12</v>
      </c>
    </row>
    <row r="14" spans="1:11" x14ac:dyDescent="0.25">
      <c r="A14" s="25" t="s">
        <v>167</v>
      </c>
      <c r="B14" s="22">
        <v>13</v>
      </c>
      <c r="C14" s="24">
        <f>(B14-10)/3</f>
        <v>1</v>
      </c>
      <c r="D14" s="24">
        <f>(C14*10)+50</f>
        <v>60</v>
      </c>
      <c r="E14" s="24">
        <f>(C14*15)+100</f>
        <v>115</v>
      </c>
      <c r="F14" s="24">
        <f>NORMSDIST(C14)*100</f>
        <v>84.134474606854297</v>
      </c>
    </row>
    <row r="15" spans="1:11" x14ac:dyDescent="0.25">
      <c r="A15" s="25" t="s">
        <v>168</v>
      </c>
      <c r="B15" s="22">
        <v>10</v>
      </c>
      <c r="C15" s="24">
        <f>(B15-10)/3</f>
        <v>0</v>
      </c>
      <c r="D15" s="24">
        <f>(C15*10)+50</f>
        <v>50</v>
      </c>
      <c r="E15" s="24">
        <f>(C15*15)+100</f>
        <v>100</v>
      </c>
      <c r="F15" s="24">
        <f>NORMSDIST(C15)*100</f>
        <v>50</v>
      </c>
    </row>
    <row r="16" spans="1:11" x14ac:dyDescent="0.25">
      <c r="A16" s="51" t="s">
        <v>177</v>
      </c>
      <c r="B16" s="23" t="s">
        <v>322</v>
      </c>
      <c r="C16" s="24">
        <f>(D16-50)/10</f>
        <v>0.65</v>
      </c>
      <c r="D16" s="24">
        <f>0.58*D14+0.51*D15-3.8</f>
        <v>56.5</v>
      </c>
      <c r="E16" s="24">
        <f>(C16*15)+100</f>
        <v>109.75</v>
      </c>
      <c r="F16" s="24">
        <f>NORMSDIST(C16)*100</f>
        <v>74.215388919413527</v>
      </c>
    </row>
    <row r="18" spans="1:1" x14ac:dyDescent="0.25">
      <c r="A18" s="3" t="s">
        <v>16</v>
      </c>
    </row>
    <row r="19" spans="1:1" x14ac:dyDescent="0.25">
      <c r="A19" t="s">
        <v>173</v>
      </c>
    </row>
    <row r="20" spans="1:1" x14ac:dyDescent="0.25">
      <c r="A20" t="s">
        <v>174</v>
      </c>
    </row>
    <row r="21" spans="1:1" x14ac:dyDescent="0.25">
      <c r="A21" t="s">
        <v>175</v>
      </c>
    </row>
    <row r="22" spans="1:1" x14ac:dyDescent="0.25">
      <c r="A22" t="s">
        <v>176</v>
      </c>
    </row>
    <row r="24" spans="1:1" x14ac:dyDescent="0.25">
      <c r="A24" t="s">
        <v>184</v>
      </c>
    </row>
  </sheetData>
  <mergeCells count="2">
    <mergeCell ref="A12:F12"/>
    <mergeCell ref="A6:F6"/>
  </mergeCells>
  <hyperlinks>
    <hyperlink ref="B4" r:id="rId1" xr:uid="{00000000-0004-0000-0B00-000000000000}"/>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002"/>
  <sheetViews>
    <sheetView showGridLines="0" workbookViewId="0">
      <selection activeCell="H16" sqref="H16"/>
    </sheetView>
  </sheetViews>
  <sheetFormatPr defaultColWidth="14.42578125" defaultRowHeight="15" customHeight="1" x14ac:dyDescent="0.2"/>
  <cols>
    <col min="1" max="1" width="7.140625" style="149" customWidth="1"/>
    <col min="2" max="6" width="17.42578125" style="149" customWidth="1"/>
    <col min="7" max="26" width="8.7109375" style="149" customWidth="1"/>
    <col min="27" max="16384" width="14.42578125" style="149"/>
  </cols>
  <sheetData>
    <row r="1" spans="1:11" customFormat="1" ht="20.25" x14ac:dyDescent="0.3">
      <c r="A1" s="55" t="s">
        <v>221</v>
      </c>
      <c r="B1" s="2"/>
      <c r="C1" s="2"/>
      <c r="D1" s="2"/>
      <c r="E1" s="2"/>
      <c r="F1" s="2"/>
      <c r="G1" s="2"/>
      <c r="H1" s="2"/>
      <c r="I1" s="2"/>
      <c r="J1" s="2"/>
      <c r="K1" s="2"/>
    </row>
    <row r="2" spans="1:11" customFormat="1" ht="13.5" customHeight="1" x14ac:dyDescent="0.3">
      <c r="A2" s="150"/>
    </row>
    <row r="3" spans="1:11" x14ac:dyDescent="0.25">
      <c r="B3" s="152" t="s">
        <v>222</v>
      </c>
    </row>
    <row r="5" spans="1:11" ht="30" x14ac:dyDescent="0.25">
      <c r="B5" s="195" t="s">
        <v>224</v>
      </c>
      <c r="C5" s="195" t="s">
        <v>270</v>
      </c>
      <c r="D5" s="195" t="s">
        <v>271</v>
      </c>
      <c r="E5" s="195" t="s">
        <v>272</v>
      </c>
      <c r="F5" s="195" t="s">
        <v>223</v>
      </c>
    </row>
    <row r="6" spans="1:11" x14ac:dyDescent="0.25">
      <c r="B6" s="166">
        <v>26</v>
      </c>
      <c r="C6" s="167">
        <v>2</v>
      </c>
      <c r="D6" s="167">
        <v>60</v>
      </c>
      <c r="E6" s="196">
        <v>11</v>
      </c>
      <c r="F6" s="168">
        <f>29.991+(2.09426*B6)+(-0.0404559*B6^2)+(0.000340705*B6^3)+(1.4617126*E6)+(4.925*C6)</f>
        <v>89.010641279999987</v>
      </c>
    </row>
    <row r="8" spans="1:11" ht="15" customHeight="1" x14ac:dyDescent="0.25">
      <c r="B8" s="152" t="s">
        <v>225</v>
      </c>
    </row>
    <row r="10" spans="1:11" x14ac:dyDescent="0.25">
      <c r="B10" s="151" t="s">
        <v>226</v>
      </c>
    </row>
    <row r="12" spans="1:11" ht="15" customHeight="1" x14ac:dyDescent="0.25">
      <c r="B12" s="151" t="s">
        <v>259</v>
      </c>
    </row>
    <row r="14" spans="1:11" ht="15" customHeight="1" x14ac:dyDescent="0.2">
      <c r="B14" s="15" t="s">
        <v>260</v>
      </c>
    </row>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hyperlinks>
    <hyperlink ref="B14" location="Demographics!A1" display="Link to Demographics Tab" xr:uid="{00000000-0004-0000-0C00-000000000000}"/>
  </hyperlinks>
  <pageMargins left="0.7" right="0.7" top="0.75" bottom="0.75" header="0" footer="0"/>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A5501-53E4-44AF-82BF-E41646FF8D82}">
  <dimension ref="A1:K1002"/>
  <sheetViews>
    <sheetView showGridLines="0" workbookViewId="0">
      <selection activeCell="K23" sqref="K23"/>
    </sheetView>
  </sheetViews>
  <sheetFormatPr defaultColWidth="14.42578125" defaultRowHeight="15" customHeight="1" x14ac:dyDescent="0.2"/>
  <cols>
    <col min="1" max="1" width="7.140625" style="149" customWidth="1"/>
    <col min="2" max="6" width="17.42578125" style="149" customWidth="1"/>
    <col min="7" max="26" width="8.7109375" style="149" customWidth="1"/>
    <col min="27" max="16384" width="14.42578125" style="149"/>
  </cols>
  <sheetData>
    <row r="1" spans="1:11" customFormat="1" ht="20.25" x14ac:dyDescent="0.3">
      <c r="A1" s="55" t="s">
        <v>287</v>
      </c>
      <c r="B1" s="2"/>
      <c r="C1" s="2"/>
      <c r="D1" s="2"/>
      <c r="E1" s="2"/>
      <c r="F1" s="2"/>
      <c r="G1" s="2"/>
      <c r="H1" s="2"/>
      <c r="I1" s="2"/>
      <c r="J1" s="2"/>
      <c r="K1" s="2"/>
    </row>
    <row r="2" spans="1:11" customFormat="1" ht="13.5" customHeight="1" x14ac:dyDescent="0.3">
      <c r="A2" s="150"/>
    </row>
    <row r="3" spans="1:11" x14ac:dyDescent="0.25">
      <c r="B3" s="152"/>
    </row>
    <row r="5" spans="1:11" x14ac:dyDescent="0.25">
      <c r="B5" s="214"/>
      <c r="C5" s="214"/>
      <c r="D5" s="214"/>
      <c r="E5" s="214"/>
      <c r="F5" s="214"/>
    </row>
    <row r="6" spans="1:11" x14ac:dyDescent="0.25">
      <c r="B6" s="171"/>
      <c r="C6" s="171"/>
      <c r="D6" s="171"/>
      <c r="E6" s="170"/>
      <c r="F6" s="170"/>
    </row>
    <row r="8" spans="1:11" ht="15" customHeight="1" x14ac:dyDescent="0.25">
      <c r="B8" s="152"/>
    </row>
    <row r="10" spans="1:11" x14ac:dyDescent="0.25">
      <c r="B10" s="151"/>
    </row>
    <row r="12" spans="1:11" ht="15" customHeight="1" x14ac:dyDescent="0.25">
      <c r="B12" s="151"/>
    </row>
    <row r="14" spans="1:11" ht="15" customHeight="1" x14ac:dyDescent="0.2">
      <c r="B14" s="15"/>
    </row>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5"/>
  <sheetViews>
    <sheetView showGridLines="0" workbookViewId="0">
      <pane xSplit="2" ySplit="18" topLeftCell="C19" activePane="bottomRight" state="frozen"/>
      <selection pane="topRight" activeCell="C1" sqref="C1"/>
      <selection pane="bottomLeft" activeCell="A19" sqref="A19"/>
      <selection pane="bottomRight" activeCell="P9" sqref="P9"/>
    </sheetView>
  </sheetViews>
  <sheetFormatPr defaultRowHeight="15" x14ac:dyDescent="0.25"/>
  <sheetData>
    <row r="1" spans="1:13" ht="21" x14ac:dyDescent="0.35">
      <c r="A1" s="16" t="s">
        <v>34</v>
      </c>
      <c r="B1" s="2"/>
      <c r="C1" s="2"/>
      <c r="D1" s="2"/>
      <c r="E1" s="2"/>
      <c r="F1" s="2"/>
      <c r="G1" s="2"/>
      <c r="H1" s="2"/>
      <c r="I1" s="2"/>
      <c r="J1" s="2"/>
      <c r="K1" s="2"/>
      <c r="L1" s="2"/>
      <c r="M1" s="2"/>
    </row>
    <row r="35" spans="5:12" ht="30" customHeight="1" x14ac:dyDescent="0.25">
      <c r="E35" s="272" t="s">
        <v>61</v>
      </c>
      <c r="F35" s="273"/>
      <c r="G35" s="273"/>
      <c r="H35" s="273"/>
      <c r="I35" s="273"/>
      <c r="J35" s="273"/>
      <c r="K35" s="274"/>
      <c r="L35" s="275"/>
    </row>
    <row r="36" spans="5:12" x14ac:dyDescent="0.25">
      <c r="E36" s="68" t="s">
        <v>11</v>
      </c>
      <c r="F36" s="69"/>
      <c r="G36" s="74" t="s">
        <v>35</v>
      </c>
      <c r="H36" s="69"/>
      <c r="I36" s="68" t="s">
        <v>36</v>
      </c>
      <c r="J36" s="113"/>
      <c r="K36" s="113"/>
      <c r="L36" s="69"/>
    </row>
    <row r="37" spans="5:12" x14ac:dyDescent="0.25">
      <c r="E37" s="70" t="s">
        <v>37</v>
      </c>
      <c r="F37" s="71"/>
      <c r="G37" s="75" t="s">
        <v>38</v>
      </c>
      <c r="H37" s="71"/>
      <c r="I37" s="70" t="s">
        <v>39</v>
      </c>
      <c r="L37" s="71"/>
    </row>
    <row r="38" spans="5:12" x14ac:dyDescent="0.25">
      <c r="E38" s="70" t="s">
        <v>40</v>
      </c>
      <c r="F38" s="71"/>
      <c r="G38" s="75" t="s">
        <v>41</v>
      </c>
      <c r="H38" s="71"/>
      <c r="I38" s="70" t="s">
        <v>42</v>
      </c>
      <c r="L38" s="71"/>
    </row>
    <row r="39" spans="5:12" x14ac:dyDescent="0.25">
      <c r="E39" s="70" t="s">
        <v>43</v>
      </c>
      <c r="F39" s="71"/>
      <c r="G39" s="75" t="s">
        <v>44</v>
      </c>
      <c r="H39" s="71"/>
      <c r="I39" s="70" t="s">
        <v>45</v>
      </c>
      <c r="L39" s="71"/>
    </row>
    <row r="40" spans="5:12" x14ac:dyDescent="0.25">
      <c r="E40" s="70" t="s">
        <v>46</v>
      </c>
      <c r="F40" s="71"/>
      <c r="G40" s="75" t="s">
        <v>47</v>
      </c>
      <c r="H40" s="71"/>
      <c r="I40" s="70" t="s">
        <v>48</v>
      </c>
      <c r="L40" s="71"/>
    </row>
    <row r="41" spans="5:12" x14ac:dyDescent="0.25">
      <c r="E41" s="70" t="s">
        <v>49</v>
      </c>
      <c r="F41" s="71"/>
      <c r="G41" s="75" t="s">
        <v>50</v>
      </c>
      <c r="H41" s="71"/>
      <c r="I41" s="70" t="s">
        <v>51</v>
      </c>
      <c r="L41" s="71"/>
    </row>
    <row r="42" spans="5:12" x14ac:dyDescent="0.25">
      <c r="E42" s="70" t="s">
        <v>52</v>
      </c>
      <c r="F42" s="71"/>
      <c r="G42" s="75" t="s">
        <v>53</v>
      </c>
      <c r="H42" s="71"/>
      <c r="I42" s="70" t="s">
        <v>54</v>
      </c>
      <c r="L42" s="71"/>
    </row>
    <row r="43" spans="5:12" x14ac:dyDescent="0.25">
      <c r="E43" s="72" t="s">
        <v>55</v>
      </c>
      <c r="F43" s="73"/>
      <c r="G43" s="76" t="s">
        <v>56</v>
      </c>
      <c r="H43" s="73"/>
      <c r="I43" s="72" t="s">
        <v>57</v>
      </c>
      <c r="J43" s="114"/>
      <c r="K43" s="114"/>
      <c r="L43" s="73"/>
    </row>
    <row r="45" spans="5:12" x14ac:dyDescent="0.25">
      <c r="E45" s="18" t="s">
        <v>58</v>
      </c>
    </row>
    <row r="46" spans="5:12" x14ac:dyDescent="0.25">
      <c r="E46" s="18" t="s">
        <v>59</v>
      </c>
    </row>
    <row r="47" spans="5:12" x14ac:dyDescent="0.25">
      <c r="E47" s="18" t="s">
        <v>60</v>
      </c>
    </row>
    <row r="49" spans="5:12" ht="30" customHeight="1" x14ac:dyDescent="0.25">
      <c r="E49" s="266" t="s">
        <v>311</v>
      </c>
      <c r="F49" s="267"/>
      <c r="G49" s="267"/>
      <c r="H49" s="267"/>
      <c r="I49" s="267"/>
      <c r="J49" s="267"/>
      <c r="K49" s="267"/>
      <c r="L49" s="268"/>
    </row>
    <row r="50" spans="5:12" x14ac:dyDescent="0.25">
      <c r="E50" s="68" t="s">
        <v>11</v>
      </c>
      <c r="F50" s="69"/>
      <c r="G50" s="74" t="s">
        <v>35</v>
      </c>
      <c r="H50" s="69"/>
      <c r="I50" s="68" t="s">
        <v>36</v>
      </c>
      <c r="J50" s="113"/>
      <c r="K50" s="113"/>
      <c r="L50" s="69"/>
    </row>
    <row r="51" spans="5:12" x14ac:dyDescent="0.25">
      <c r="E51" s="70" t="s">
        <v>37</v>
      </c>
      <c r="F51" s="71"/>
      <c r="G51" s="75" t="s">
        <v>309</v>
      </c>
      <c r="H51" s="71"/>
      <c r="I51" s="70" t="s">
        <v>310</v>
      </c>
      <c r="L51" s="71"/>
    </row>
    <row r="52" spans="5:12" x14ac:dyDescent="0.25">
      <c r="E52" s="70" t="s">
        <v>40</v>
      </c>
      <c r="F52" s="71"/>
      <c r="G52" s="75" t="s">
        <v>41</v>
      </c>
      <c r="H52" s="71"/>
      <c r="I52" s="70" t="s">
        <v>313</v>
      </c>
      <c r="L52" s="71"/>
    </row>
    <row r="53" spans="5:12" x14ac:dyDescent="0.25">
      <c r="E53" s="70" t="s">
        <v>43</v>
      </c>
      <c r="F53" s="71"/>
      <c r="G53" s="75" t="s">
        <v>44</v>
      </c>
      <c r="H53" s="71"/>
      <c r="I53" s="70" t="s">
        <v>314</v>
      </c>
      <c r="L53" s="71"/>
    </row>
    <row r="54" spans="5:12" x14ac:dyDescent="0.25">
      <c r="E54" s="70" t="s">
        <v>46</v>
      </c>
      <c r="F54" s="71"/>
      <c r="G54" s="75" t="s">
        <v>47</v>
      </c>
      <c r="H54" s="71"/>
      <c r="I54" s="70" t="s">
        <v>315</v>
      </c>
      <c r="L54" s="71"/>
    </row>
    <row r="55" spans="5:12" x14ac:dyDescent="0.25">
      <c r="E55" s="70" t="s">
        <v>49</v>
      </c>
      <c r="F55" s="71"/>
      <c r="G55" s="75" t="s">
        <v>50</v>
      </c>
      <c r="H55" s="71"/>
      <c r="I55" s="70" t="s">
        <v>316</v>
      </c>
      <c r="L55" s="71"/>
    </row>
    <row r="56" spans="5:12" x14ac:dyDescent="0.25">
      <c r="E56" s="70" t="s">
        <v>52</v>
      </c>
      <c r="F56" s="71"/>
      <c r="G56" s="75" t="s">
        <v>53</v>
      </c>
      <c r="H56" s="71"/>
      <c r="I56" s="70" t="s">
        <v>317</v>
      </c>
      <c r="L56" s="71"/>
    </row>
    <row r="57" spans="5:12" x14ac:dyDescent="0.25">
      <c r="E57" s="72" t="s">
        <v>55</v>
      </c>
      <c r="F57" s="73"/>
      <c r="G57" s="76" t="s">
        <v>56</v>
      </c>
      <c r="H57" s="73"/>
      <c r="I57" s="72" t="s">
        <v>318</v>
      </c>
      <c r="J57" s="114"/>
      <c r="K57" s="114"/>
      <c r="L57" s="73"/>
    </row>
    <row r="58" spans="5:12" x14ac:dyDescent="0.25">
      <c r="E58" s="269" t="s">
        <v>312</v>
      </c>
      <c r="F58" s="270"/>
      <c r="G58" s="270"/>
      <c r="H58" s="270"/>
      <c r="I58" s="270"/>
      <c r="J58" s="270"/>
      <c r="K58" s="270"/>
      <c r="L58" s="271"/>
    </row>
    <row r="60" spans="5:12" ht="52.5" customHeight="1" x14ac:dyDescent="0.25">
      <c r="E60" s="264" t="s">
        <v>321</v>
      </c>
      <c r="F60" s="264"/>
      <c r="G60" s="264"/>
      <c r="H60" s="264"/>
      <c r="I60" s="264"/>
      <c r="J60" s="264"/>
      <c r="K60" s="264"/>
      <c r="L60" s="264"/>
    </row>
    <row r="61" spans="5:12" ht="67.5" customHeight="1" x14ac:dyDescent="0.25">
      <c r="E61" s="264" t="s">
        <v>319</v>
      </c>
      <c r="F61" s="265"/>
      <c r="G61" s="265"/>
      <c r="H61" s="265"/>
      <c r="I61" s="265"/>
      <c r="J61" s="265"/>
      <c r="K61" s="265"/>
      <c r="L61" s="265"/>
    </row>
    <row r="62" spans="5:12" ht="54" customHeight="1" x14ac:dyDescent="0.25">
      <c r="E62" s="264" t="s">
        <v>320</v>
      </c>
      <c r="F62" s="265"/>
      <c r="G62" s="265"/>
      <c r="H62" s="265"/>
      <c r="I62" s="265"/>
      <c r="J62" s="265"/>
      <c r="K62" s="265"/>
      <c r="L62" s="265"/>
    </row>
    <row r="63" spans="5:12" x14ac:dyDescent="0.25">
      <c r="E63" s="264"/>
      <c r="F63" s="265"/>
      <c r="G63" s="265"/>
      <c r="H63" s="265"/>
      <c r="I63" s="265"/>
      <c r="J63" s="265"/>
      <c r="K63" s="265"/>
      <c r="L63" s="265"/>
    </row>
    <row r="64" spans="5:12" x14ac:dyDescent="0.25">
      <c r="E64" s="264"/>
      <c r="F64" s="265"/>
      <c r="G64" s="265"/>
      <c r="H64" s="265"/>
      <c r="I64" s="265"/>
      <c r="J64" s="265"/>
      <c r="K64" s="265"/>
      <c r="L64" s="265"/>
    </row>
    <row r="65" spans="5:12" x14ac:dyDescent="0.25">
      <c r="E65" s="264"/>
      <c r="F65" s="265"/>
      <c r="G65" s="265"/>
      <c r="H65" s="265"/>
      <c r="I65" s="265"/>
      <c r="J65" s="265"/>
      <c r="K65" s="265"/>
      <c r="L65" s="265"/>
    </row>
  </sheetData>
  <mergeCells count="9">
    <mergeCell ref="E64:L64"/>
    <mergeCell ref="E65:L65"/>
    <mergeCell ref="E49:L49"/>
    <mergeCell ref="E58:L58"/>
    <mergeCell ref="E35:L35"/>
    <mergeCell ref="E60:L60"/>
    <mergeCell ref="E61:L61"/>
    <mergeCell ref="E62:L62"/>
    <mergeCell ref="E63:L63"/>
  </mergeCells>
  <hyperlinks>
    <hyperlink ref="E58:L58" r:id="rId1" display="Link to Paper" xr:uid="{332129F9-D311-414B-ADAF-C9D002C10C0A}"/>
  </hyperlinks>
  <pageMargins left="0.7" right="0.7" top="0.75" bottom="0.75" header="0.3" footer="0.3"/>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2"/>
  <sheetViews>
    <sheetView showGridLines="0" workbookViewId="0">
      <pane xSplit="1" ySplit="9" topLeftCell="B10" activePane="bottomRight" state="frozen"/>
      <selection pane="topRight" activeCell="B1" sqref="B1"/>
      <selection pane="bottomLeft" activeCell="A10" sqref="A10"/>
      <selection pane="bottomRight" activeCell="F15" sqref="F15"/>
    </sheetView>
  </sheetViews>
  <sheetFormatPr defaultRowHeight="15" x14ac:dyDescent="0.25"/>
  <cols>
    <col min="1" max="1" width="4.28515625" customWidth="1"/>
    <col min="2" max="3" width="22" customWidth="1"/>
    <col min="4" max="4" width="22" style="6" customWidth="1"/>
    <col min="5" max="6" width="22" customWidth="1"/>
    <col min="7" max="9" width="14.28515625" customWidth="1"/>
    <col min="10" max="10" width="14.28515625" style="14" customWidth="1"/>
    <col min="11" max="11" width="14.28515625" customWidth="1"/>
  </cols>
  <sheetData>
    <row r="1" spans="1:6" ht="21" x14ac:dyDescent="0.35">
      <c r="A1" s="2"/>
      <c r="B1" s="10" t="s">
        <v>265</v>
      </c>
      <c r="C1" s="2"/>
      <c r="D1" s="7"/>
      <c r="E1" s="2"/>
      <c r="F1" s="2"/>
    </row>
    <row r="2" spans="1:6" ht="15" customHeight="1" x14ac:dyDescent="0.35">
      <c r="B2" s="9"/>
    </row>
    <row r="3" spans="1:6" x14ac:dyDescent="0.25">
      <c r="C3" s="50" t="s">
        <v>62</v>
      </c>
      <c r="F3" s="50" t="s">
        <v>62</v>
      </c>
    </row>
    <row r="4" spans="1:6" x14ac:dyDescent="0.25">
      <c r="B4" s="3" t="s">
        <v>63</v>
      </c>
      <c r="C4" s="165">
        <v>28937</v>
      </c>
      <c r="E4" s="3" t="s">
        <v>64</v>
      </c>
      <c r="F4" s="77">
        <v>31</v>
      </c>
    </row>
    <row r="5" spans="1:6" x14ac:dyDescent="0.25">
      <c r="B5" s="3" t="s">
        <v>65</v>
      </c>
      <c r="C5" s="165">
        <v>45146</v>
      </c>
      <c r="E5" s="3" t="s">
        <v>235</v>
      </c>
      <c r="F5" s="6"/>
    </row>
    <row r="6" spans="1:6" x14ac:dyDescent="0.25">
      <c r="B6" s="3"/>
      <c r="C6" s="6"/>
      <c r="E6" s="3"/>
      <c r="F6" s="6"/>
    </row>
    <row r="7" spans="1:6" x14ac:dyDescent="0.25">
      <c r="B7" s="3" t="s">
        <v>66</v>
      </c>
      <c r="C7" s="67">
        <f>(C5-C4)/365</f>
        <v>44.408219178082192</v>
      </c>
      <c r="E7" s="3" t="s">
        <v>264</v>
      </c>
      <c r="F7" s="19">
        <f>F4-4</f>
        <v>27</v>
      </c>
    </row>
    <row r="9" spans="1:6" x14ac:dyDescent="0.25">
      <c r="B9" s="152" t="s">
        <v>244</v>
      </c>
    </row>
    <row r="10" spans="1:6" x14ac:dyDescent="0.25">
      <c r="B10" s="152"/>
    </row>
    <row r="11" spans="1:6" ht="21" x14ac:dyDescent="0.35">
      <c r="B11" s="179" t="s">
        <v>222</v>
      </c>
      <c r="C11" s="149"/>
      <c r="D11" s="149"/>
      <c r="E11" s="149"/>
      <c r="F11" s="149" t="s">
        <v>274</v>
      </c>
    </row>
    <row r="12" spans="1:6" x14ac:dyDescent="0.25">
      <c r="B12" s="149"/>
      <c r="C12" s="149"/>
      <c r="D12" s="149"/>
      <c r="E12" s="149"/>
      <c r="F12" s="149"/>
    </row>
    <row r="13" spans="1:6" ht="31.5" customHeight="1" x14ac:dyDescent="0.25">
      <c r="B13" s="189" t="s">
        <v>256</v>
      </c>
      <c r="C13" s="180" t="s">
        <v>234</v>
      </c>
      <c r="D13" s="180" t="s">
        <v>261</v>
      </c>
      <c r="E13" s="187" t="s">
        <v>263</v>
      </c>
      <c r="F13" s="186"/>
    </row>
    <row r="14" spans="1:6" x14ac:dyDescent="0.25">
      <c r="B14" s="166">
        <v>63</v>
      </c>
      <c r="C14" s="167">
        <v>2</v>
      </c>
      <c r="D14" s="168">
        <f>C7</f>
        <v>44.408219178082192</v>
      </c>
      <c r="E14" s="188">
        <f>F7</f>
        <v>27</v>
      </c>
      <c r="F14" s="170"/>
    </row>
    <row r="15" spans="1:6" x14ac:dyDescent="0.25">
      <c r="B15" s="171"/>
      <c r="C15" s="171"/>
      <c r="D15" s="169"/>
      <c r="E15" s="170"/>
      <c r="F15" s="170"/>
    </row>
    <row r="16" spans="1:6" x14ac:dyDescent="0.25">
      <c r="B16" s="174" t="s">
        <v>117</v>
      </c>
      <c r="C16" s="174" t="s">
        <v>236</v>
      </c>
      <c r="D16" s="169"/>
      <c r="E16" s="170"/>
      <c r="F16" s="170"/>
    </row>
    <row r="17" spans="2:6" x14ac:dyDescent="0.25">
      <c r="B17" s="228" t="s">
        <v>323</v>
      </c>
      <c r="C17" s="176">
        <f>29.991+(2.09426*B14)+(-0.0404559*B14^2)+(0.000340705*B14^3)+(1.4617126*E14)+(4.925*C14)</f>
        <v>135.86841623499996</v>
      </c>
      <c r="D17" s="169"/>
      <c r="E17" s="170"/>
      <c r="F17" s="170"/>
    </row>
    <row r="18" spans="2:6" x14ac:dyDescent="0.25">
      <c r="B18" s="228" t="s">
        <v>237</v>
      </c>
      <c r="C18" s="176">
        <f>52.873+(0.7367445*B14)+(-0.0120053*B14^2)+(0.000152838*B14^3)+(1.3280933*E14)+(3.491*C14)</f>
        <v>132.69607028600001</v>
      </c>
      <c r="D18" s="169"/>
      <c r="E18" s="170"/>
      <c r="F18" s="170"/>
    </row>
    <row r="19" spans="2:6" x14ac:dyDescent="0.25">
      <c r="B19" s="228" t="s">
        <v>238</v>
      </c>
      <c r="C19" s="176">
        <f>20.695+(3.0900198*B14)+(-0.0642406*B14^2)+(0.000487938*B14^3)+(1.4918918*E14)+(5.734*C14)</f>
        <v>134.15181768599999</v>
      </c>
      <c r="D19" s="169"/>
      <c r="E19" s="170"/>
      <c r="F19" s="170"/>
    </row>
    <row r="20" spans="2:6" x14ac:dyDescent="0.25">
      <c r="B20" s="228" t="s">
        <v>239</v>
      </c>
      <c r="C20" s="176">
        <f>42.779+(1.3486859*B14)+(-0.0177809*B14^2)+(0.000132589*B14^3)+(0.8494128*E14)+(7.112*C14)</f>
        <v>127.48544688299999</v>
      </c>
      <c r="D20" s="169"/>
      <c r="E20" s="170"/>
      <c r="F20" s="170"/>
    </row>
    <row r="21" spans="2:6" x14ac:dyDescent="0.25">
      <c r="B21" s="228" t="s">
        <v>240</v>
      </c>
      <c r="C21" s="176">
        <f>52.309+(2.0864576*B14)+(-0.0450319*B14^2)+(0.0003621*B14^3)+(0.8079689*E14)</f>
        <v>117.38139670000001</v>
      </c>
      <c r="D21" s="169"/>
      <c r="E21" s="170"/>
      <c r="F21" s="170"/>
    </row>
    <row r="22" spans="2:6" x14ac:dyDescent="0.25">
      <c r="B22" s="229"/>
      <c r="C22" s="177"/>
      <c r="D22" s="169"/>
      <c r="E22" s="170"/>
      <c r="F22" s="170"/>
    </row>
    <row r="23" spans="2:6" x14ac:dyDescent="0.25">
      <c r="B23" s="228" t="s">
        <v>241</v>
      </c>
      <c r="C23" s="176">
        <f>84.77+(0.5426*B14)+(-0.1779*D14)</f>
        <v>111.05357780821917</v>
      </c>
      <c r="D23" s="169"/>
      <c r="E23" s="170"/>
      <c r="F23" s="170"/>
    </row>
    <row r="24" spans="2:6" x14ac:dyDescent="0.25">
      <c r="B24" s="228" t="s">
        <v>242</v>
      </c>
      <c r="C24" s="176">
        <f>84.438+(0.5598*B14)+(-0.1904*D14)</f>
        <v>111.25007506849315</v>
      </c>
      <c r="D24" s="169"/>
      <c r="E24" s="170"/>
      <c r="F24" s="170"/>
    </row>
    <row r="25" spans="2:6" x14ac:dyDescent="0.25">
      <c r="B25" s="230" t="s">
        <v>243</v>
      </c>
      <c r="C25" s="178">
        <f>87.994+(0.5265*B14)+(-0.1783*D14)</f>
        <v>113.24551452054794</v>
      </c>
      <c r="D25" s="149"/>
      <c r="E25" s="149"/>
      <c r="F25" s="149"/>
    </row>
    <row r="26" spans="2:6" x14ac:dyDescent="0.25">
      <c r="B26" s="172"/>
      <c r="C26" s="149"/>
      <c r="D26" s="149"/>
      <c r="E26" s="149"/>
      <c r="F26" s="149"/>
    </row>
    <row r="27" spans="2:6" x14ac:dyDescent="0.25">
      <c r="B27" s="151" t="s">
        <v>266</v>
      </c>
      <c r="C27" s="149"/>
      <c r="D27" s="149"/>
      <c r="E27" s="149"/>
      <c r="F27" s="149"/>
    </row>
    <row r="28" spans="2:6" x14ac:dyDescent="0.25">
      <c r="B28" s="151" t="s">
        <v>267</v>
      </c>
      <c r="C28" s="149"/>
      <c r="D28" s="149"/>
      <c r="E28" s="149"/>
      <c r="F28" s="149"/>
    </row>
    <row r="30" spans="2:6" ht="21" x14ac:dyDescent="0.35">
      <c r="B30" s="9" t="s">
        <v>245</v>
      </c>
    </row>
    <row r="32" spans="2:6" ht="30" customHeight="1" x14ac:dyDescent="0.25">
      <c r="B32" s="190" t="s">
        <v>257</v>
      </c>
      <c r="C32" s="180" t="s">
        <v>261</v>
      </c>
      <c r="D32" s="180" t="s">
        <v>262</v>
      </c>
      <c r="E32" s="191" t="s">
        <v>246</v>
      </c>
    </row>
    <row r="33" spans="2:10" x14ac:dyDescent="0.25">
      <c r="B33" s="77">
        <v>1</v>
      </c>
      <c r="C33" s="168">
        <f>C7</f>
        <v>44.408219178082192</v>
      </c>
      <c r="D33" s="168">
        <f>F7</f>
        <v>27</v>
      </c>
      <c r="E33" s="116">
        <f>87.14+(-5.21*B33)+(1.78*E14)+(0.18*D14)</f>
        <v>137.98347945205481</v>
      </c>
    </row>
    <row r="35" spans="2:10" x14ac:dyDescent="0.25">
      <c r="B35" s="3" t="s">
        <v>247</v>
      </c>
      <c r="C35" s="3"/>
    </row>
    <row r="36" spans="2:10" x14ac:dyDescent="0.25">
      <c r="B36" s="154">
        <v>1</v>
      </c>
      <c r="C36" s="181" t="s">
        <v>248</v>
      </c>
      <c r="D36" s="182"/>
      <c r="E36" s="113"/>
      <c r="F36" s="113"/>
      <c r="G36" s="113"/>
      <c r="H36" s="113"/>
      <c r="I36" s="113"/>
      <c r="J36" s="183"/>
    </row>
    <row r="37" spans="2:10" x14ac:dyDescent="0.25">
      <c r="B37" s="122">
        <v>2</v>
      </c>
      <c r="C37" s="75" t="s">
        <v>249</v>
      </c>
      <c r="J37" s="184"/>
    </row>
    <row r="38" spans="2:10" x14ac:dyDescent="0.25">
      <c r="B38" s="122">
        <v>3</v>
      </c>
      <c r="C38" s="75" t="s">
        <v>250</v>
      </c>
      <c r="J38" s="184"/>
    </row>
    <row r="39" spans="2:10" x14ac:dyDescent="0.25">
      <c r="B39" s="122">
        <v>4</v>
      </c>
      <c r="C39" s="75" t="s">
        <v>251</v>
      </c>
      <c r="J39" s="184"/>
    </row>
    <row r="40" spans="2:10" x14ac:dyDescent="0.25">
      <c r="B40" s="155">
        <v>5</v>
      </c>
      <c r="C40" s="76" t="s">
        <v>252</v>
      </c>
      <c r="D40" s="160"/>
      <c r="E40" s="114"/>
      <c r="F40" s="114"/>
      <c r="G40" s="114"/>
      <c r="H40" s="114"/>
      <c r="I40" s="114"/>
      <c r="J40" s="185"/>
    </row>
    <row r="42" spans="2:10" x14ac:dyDescent="0.25">
      <c r="B42" s="3" t="s">
        <v>253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4"/>
  <sheetViews>
    <sheetView showGridLines="0" workbookViewId="0">
      <pane ySplit="1" topLeftCell="A2" activePane="bottomLeft" state="frozen"/>
      <selection pane="bottomLeft" activeCell="K15" sqref="K15"/>
    </sheetView>
  </sheetViews>
  <sheetFormatPr defaultRowHeight="15" x14ac:dyDescent="0.25"/>
  <cols>
    <col min="1" max="1" width="24" customWidth="1"/>
    <col min="2" max="2" width="14.28515625" customWidth="1"/>
    <col min="3" max="3" width="14.28515625" style="6" customWidth="1"/>
    <col min="4" max="8" width="14.28515625" customWidth="1"/>
    <col min="9" max="9" width="14.28515625" style="14" customWidth="1"/>
    <col min="10" max="10" width="14.28515625" customWidth="1"/>
  </cols>
  <sheetData>
    <row r="1" spans="1:15" ht="21" x14ac:dyDescent="0.35">
      <c r="A1" s="16" t="s">
        <v>231</v>
      </c>
      <c r="B1" s="2"/>
      <c r="C1" s="7"/>
      <c r="D1" s="2"/>
      <c r="E1" s="2"/>
    </row>
    <row r="2" spans="1:15" ht="15" customHeight="1" x14ac:dyDescent="0.35">
      <c r="A2" s="9"/>
    </row>
    <row r="3" spans="1:15" ht="21" x14ac:dyDescent="0.35">
      <c r="A3" s="9" t="s">
        <v>232</v>
      </c>
    </row>
    <row r="4" spans="1:15" ht="30" customHeight="1" x14ac:dyDescent="0.25">
      <c r="A4" s="54" t="s">
        <v>67</v>
      </c>
      <c r="B4" s="54" t="s">
        <v>68</v>
      </c>
      <c r="C4" s="54" t="s">
        <v>69</v>
      </c>
      <c r="D4" s="54" t="s">
        <v>70</v>
      </c>
      <c r="E4" s="19" t="s">
        <v>13</v>
      </c>
      <c r="F4" s="19" t="s">
        <v>71</v>
      </c>
      <c r="G4" s="19" t="s">
        <v>72</v>
      </c>
      <c r="H4" s="19" t="s">
        <v>11</v>
      </c>
      <c r="I4" s="20" t="s">
        <v>12</v>
      </c>
      <c r="K4" s="17"/>
      <c r="M4" s="3"/>
      <c r="O4" s="17"/>
    </row>
    <row r="5" spans="1:15" x14ac:dyDescent="0.25">
      <c r="A5" s="21" t="s">
        <v>73</v>
      </c>
      <c r="B5" s="77">
        <v>7</v>
      </c>
      <c r="C5" s="77">
        <v>6</v>
      </c>
      <c r="D5" s="77">
        <v>1</v>
      </c>
      <c r="E5" s="23">
        <f>(B5-C5)/D5</f>
        <v>1</v>
      </c>
      <c r="F5" s="23">
        <f>E5*10+50</f>
        <v>60</v>
      </c>
      <c r="G5" s="23">
        <f>E5*3+10</f>
        <v>13</v>
      </c>
      <c r="H5" s="23">
        <f>E5*15+100</f>
        <v>115</v>
      </c>
      <c r="I5" s="24">
        <f>NORMSDIST(E5)*100</f>
        <v>84.134474606854297</v>
      </c>
      <c r="K5" s="18"/>
      <c r="O5" s="18"/>
    </row>
    <row r="6" spans="1:15" x14ac:dyDescent="0.25">
      <c r="A6" s="21" t="s">
        <v>74</v>
      </c>
      <c r="B6" s="77">
        <v>4</v>
      </c>
      <c r="C6" s="77">
        <v>3</v>
      </c>
      <c r="D6" s="77">
        <v>1</v>
      </c>
      <c r="E6" s="23">
        <f>IF(ISBLANK(B6),"***",(B6-C6)/D6)</f>
        <v>1</v>
      </c>
      <c r="F6" s="23">
        <f>IF(ISBLANK(B6),"***",(E6*10+50))</f>
        <v>60</v>
      </c>
      <c r="G6" s="23">
        <f>IF(ISBLANK(B6),"***",(E6*3+10))</f>
        <v>13</v>
      </c>
      <c r="H6" s="23">
        <f>IF(ISBLANK(B6),"***",(E6*15+100))</f>
        <v>115</v>
      </c>
      <c r="I6" s="24">
        <f>IF(ISBLANK(B6),"***",(NORMSDIST(E6)*100))</f>
        <v>84.134474606854297</v>
      </c>
      <c r="K6" s="18"/>
      <c r="O6" s="18"/>
    </row>
    <row r="7" spans="1:15" x14ac:dyDescent="0.25">
      <c r="A7" s="25"/>
      <c r="B7" s="77">
        <v>13</v>
      </c>
      <c r="C7" s="77">
        <v>2.99</v>
      </c>
      <c r="D7" s="77">
        <v>4.0999999999999996</v>
      </c>
      <c r="E7" s="22">
        <f>IF(ISBLANK(B7),"***",(B7-C7)/D7)</f>
        <v>2.4414634146341463</v>
      </c>
      <c r="F7" s="22">
        <f>IF(ISBLANK(B7),"***",(E7*10+50))</f>
        <v>74.414634146341456</v>
      </c>
      <c r="G7" s="22">
        <f>IF(ISBLANK(B7),"***",(E7*3+10))</f>
        <v>17.324390243902439</v>
      </c>
      <c r="H7" s="22">
        <f>IF(ISBLANK(B7),"***",(E7*15+100))</f>
        <v>136.6219512195122</v>
      </c>
      <c r="I7" s="26">
        <f>IF(ISBLANK(B7),"***",(NORMSDIST(E7)*100))</f>
        <v>99.268606479798223</v>
      </c>
      <c r="K7" s="18"/>
      <c r="O7" s="18"/>
    </row>
    <row r="8" spans="1:15" x14ac:dyDescent="0.25">
      <c r="A8" s="25"/>
      <c r="B8" s="77">
        <v>9</v>
      </c>
      <c r="C8" s="77">
        <v>2.2599999999999998</v>
      </c>
      <c r="D8" s="77">
        <v>3.1</v>
      </c>
      <c r="E8" s="22">
        <f t="shared" ref="E8:E11" si="0">IF(ISBLANK(B8),"***",(B8-C8)/D8)</f>
        <v>2.1741935483870969</v>
      </c>
      <c r="F8" s="22">
        <f t="shared" ref="F8:F11" si="1">IF(ISBLANK(B8),"***",(E8*10+50))</f>
        <v>71.741935483870975</v>
      </c>
      <c r="G8" s="22">
        <f>IF(ISBLANK(B8),"***",(E8*3+10))</f>
        <v>16.522580645161291</v>
      </c>
      <c r="H8" s="22">
        <f>IF(ISBLANK(B8),"***",(E8*15+100))</f>
        <v>132.61290322580646</v>
      </c>
      <c r="I8" s="26">
        <f t="shared" ref="I8:I11" si="2">IF(ISBLANK(B8),"***",(NORMSDIST(E8)*100))</f>
        <v>98.51546986516594</v>
      </c>
      <c r="K8" s="18"/>
      <c r="O8" s="18"/>
    </row>
    <row r="9" spans="1:15" x14ac:dyDescent="0.25">
      <c r="A9" s="25"/>
      <c r="B9" s="77"/>
      <c r="C9" s="77"/>
      <c r="D9" s="77"/>
      <c r="E9" s="22" t="str">
        <f t="shared" si="0"/>
        <v>***</v>
      </c>
      <c r="F9" s="22" t="str">
        <f t="shared" si="1"/>
        <v>***</v>
      </c>
      <c r="G9" s="22" t="str">
        <f t="shared" ref="G9:G11" si="3">IF(ISBLANK(B9),"***",(E9*3+10))</f>
        <v>***</v>
      </c>
      <c r="H9" s="22" t="str">
        <f t="shared" ref="H9:H11" si="4">IF(ISBLANK(B9),"***",(E9*15+100))</f>
        <v>***</v>
      </c>
      <c r="I9" s="26" t="str">
        <f t="shared" si="2"/>
        <v>***</v>
      </c>
      <c r="K9" s="18"/>
      <c r="O9" s="18"/>
    </row>
    <row r="10" spans="1:15" x14ac:dyDescent="0.25">
      <c r="A10" s="25"/>
      <c r="B10" s="77"/>
      <c r="C10" s="77"/>
      <c r="D10" s="77"/>
      <c r="E10" s="22" t="str">
        <f t="shared" si="0"/>
        <v>***</v>
      </c>
      <c r="F10" s="22" t="str">
        <f t="shared" si="1"/>
        <v>***</v>
      </c>
      <c r="G10" s="22" t="str">
        <f t="shared" si="3"/>
        <v>***</v>
      </c>
      <c r="H10" s="22" t="str">
        <f t="shared" si="4"/>
        <v>***</v>
      </c>
      <c r="I10" s="26" t="str">
        <f>IF(ISBLANK(B10),"***",(NORMSDIST(E10)*100))</f>
        <v>***</v>
      </c>
      <c r="K10" s="18"/>
      <c r="O10" s="18"/>
    </row>
    <row r="11" spans="1:15" x14ac:dyDescent="0.25">
      <c r="A11" s="25"/>
      <c r="B11" s="77"/>
      <c r="C11" s="77"/>
      <c r="D11" s="77"/>
      <c r="E11" s="22" t="str">
        <f t="shared" si="0"/>
        <v>***</v>
      </c>
      <c r="F11" s="22" t="str">
        <f t="shared" si="1"/>
        <v>***</v>
      </c>
      <c r="G11" s="22" t="str">
        <f t="shared" si="3"/>
        <v>***</v>
      </c>
      <c r="H11" s="22" t="str">
        <f t="shared" si="4"/>
        <v>***</v>
      </c>
      <c r="I11" s="26" t="str">
        <f t="shared" si="2"/>
        <v>***</v>
      </c>
      <c r="K11" s="18"/>
      <c r="O11" s="18"/>
    </row>
    <row r="12" spans="1:15" x14ac:dyDescent="0.25">
      <c r="B12" s="6"/>
      <c r="D12" s="6"/>
      <c r="E12" s="182"/>
      <c r="F12" s="6"/>
      <c r="G12" s="6"/>
      <c r="H12" s="6"/>
      <c r="I12" s="156"/>
      <c r="K12" s="18"/>
      <c r="O12" s="18"/>
    </row>
    <row r="13" spans="1:15" ht="21" x14ac:dyDescent="0.35">
      <c r="A13" s="162" t="s">
        <v>233</v>
      </c>
      <c r="B13" s="160"/>
      <c r="C13" s="160"/>
      <c r="D13" s="160"/>
      <c r="E13" s="160"/>
      <c r="F13" s="160"/>
      <c r="G13" s="160"/>
      <c r="H13" s="160"/>
      <c r="I13" s="161"/>
      <c r="K13" s="18"/>
      <c r="O13" s="18"/>
    </row>
    <row r="14" spans="1:15" ht="30" x14ac:dyDescent="0.25">
      <c r="A14" s="54" t="s">
        <v>67</v>
      </c>
      <c r="B14" s="54" t="s">
        <v>68</v>
      </c>
      <c r="C14" s="54" t="s">
        <v>1</v>
      </c>
      <c r="D14" s="54" t="s">
        <v>2</v>
      </c>
      <c r="E14" s="221" t="s">
        <v>13</v>
      </c>
      <c r="F14" s="19" t="s">
        <v>71</v>
      </c>
      <c r="G14" s="19" t="s">
        <v>72</v>
      </c>
      <c r="H14" s="19" t="s">
        <v>11</v>
      </c>
      <c r="I14" s="20" t="s">
        <v>12</v>
      </c>
      <c r="K14" s="18"/>
      <c r="O14" s="18"/>
    </row>
    <row r="15" spans="1:15" x14ac:dyDescent="0.25">
      <c r="A15" s="158" t="s">
        <v>75</v>
      </c>
      <c r="B15" s="137">
        <v>0</v>
      </c>
      <c r="C15" s="123">
        <v>0</v>
      </c>
      <c r="D15" s="123">
        <v>1</v>
      </c>
      <c r="E15" s="23">
        <f>IF(ISBLANK(B15),"***",(B15-C16)/D15)</f>
        <v>0</v>
      </c>
      <c r="F15" s="123">
        <f>IF(ISBLANK(B15),"***",(E15*10+50))</f>
        <v>50</v>
      </c>
      <c r="G15" s="23">
        <f t="shared" ref="G15" si="5">IF(ISBLANK(B15),"***",(E15*3+10))</f>
        <v>10</v>
      </c>
      <c r="H15" s="123">
        <f>IF(ISBLANK(B15),"***",(E15*15+100))</f>
        <v>100</v>
      </c>
      <c r="I15" s="159">
        <f>IF(ISBLANK(B15),"***",(NORMSDIST(E15)*100))</f>
        <v>50</v>
      </c>
      <c r="K15" s="18"/>
      <c r="O15" s="18"/>
    </row>
    <row r="16" spans="1:15" x14ac:dyDescent="0.25">
      <c r="A16" s="25"/>
      <c r="B16" s="77">
        <v>1</v>
      </c>
      <c r="C16" s="155">
        <v>0</v>
      </c>
      <c r="D16" s="155">
        <v>1</v>
      </c>
      <c r="E16" s="22">
        <f>IF(ISBLANK(B16),"***",(B16-C16)/D16)</f>
        <v>1</v>
      </c>
      <c r="F16" s="155">
        <f>IF(ISBLANK(B16),"***",(E16*10+50))</f>
        <v>60</v>
      </c>
      <c r="G16" s="22">
        <f>IF(ISBLANK(B16),"***",(E16*3+10))</f>
        <v>13</v>
      </c>
      <c r="H16" s="155">
        <f>IF(ISBLANK(B16),"***",(E16*15+100))</f>
        <v>115</v>
      </c>
      <c r="I16" s="163">
        <f>IF(ISBLANK(B16),"***",(NORMSDIST(E16)*100))</f>
        <v>84.134474606854297</v>
      </c>
      <c r="K16" s="18"/>
      <c r="O16" s="18"/>
    </row>
    <row r="17" spans="1:15" x14ac:dyDescent="0.25">
      <c r="A17" s="157"/>
      <c r="B17" s="153">
        <v>-2</v>
      </c>
      <c r="C17" s="122">
        <v>0</v>
      </c>
      <c r="D17" s="122">
        <v>1</v>
      </c>
      <c r="E17" s="22">
        <f t="shared" ref="E17:E18" si="6">IF(ISBLANK(B17),"***",(B17-C17)/D17)</f>
        <v>-2</v>
      </c>
      <c r="F17" s="155">
        <f t="shared" ref="F17:F34" si="7">IF(ISBLANK(B17),"***",(E17*10+50))</f>
        <v>30</v>
      </c>
      <c r="G17" s="22">
        <f t="shared" ref="G17:G34" si="8">IF(ISBLANK(B17),"***",(E17*3+10))</f>
        <v>4</v>
      </c>
      <c r="H17" s="155">
        <f t="shared" ref="H17:H34" si="9">IF(ISBLANK(B17),"***",(E17*15+100))</f>
        <v>70</v>
      </c>
      <c r="I17" s="163">
        <f t="shared" ref="I17:I34" si="10">IF(ISBLANK(B17),"***",(NORMSDIST(E17)*100))</f>
        <v>2.2750131948179191</v>
      </c>
      <c r="K17" s="18"/>
      <c r="O17" s="18"/>
    </row>
    <row r="18" spans="1:15" x14ac:dyDescent="0.25">
      <c r="A18" s="164"/>
      <c r="B18" s="77">
        <v>-3</v>
      </c>
      <c r="C18" s="22">
        <v>0</v>
      </c>
      <c r="D18" s="22">
        <v>1</v>
      </c>
      <c r="E18" s="22">
        <f t="shared" si="6"/>
        <v>-3</v>
      </c>
      <c r="F18" s="155">
        <f t="shared" si="7"/>
        <v>20</v>
      </c>
      <c r="G18" s="22">
        <f t="shared" si="8"/>
        <v>1</v>
      </c>
      <c r="H18" s="155">
        <f t="shared" si="9"/>
        <v>55</v>
      </c>
      <c r="I18" s="163">
        <f t="shared" si="10"/>
        <v>0.13498980316300932</v>
      </c>
    </row>
    <row r="19" spans="1:15" x14ac:dyDescent="0.25">
      <c r="A19" s="158" t="s">
        <v>76</v>
      </c>
      <c r="B19" s="123">
        <v>50</v>
      </c>
      <c r="C19" s="123">
        <v>50</v>
      </c>
      <c r="D19" s="123">
        <v>10</v>
      </c>
      <c r="E19" s="23">
        <f>IF(ISBLANK(B19),"***",(B19-C19)/D19)</f>
        <v>0</v>
      </c>
      <c r="F19" s="123">
        <f t="shared" si="7"/>
        <v>50</v>
      </c>
      <c r="G19" s="23">
        <f t="shared" si="8"/>
        <v>10</v>
      </c>
      <c r="H19" s="123">
        <f t="shared" si="9"/>
        <v>100</v>
      </c>
      <c r="I19" s="159">
        <f t="shared" si="10"/>
        <v>50</v>
      </c>
      <c r="K19" s="277"/>
      <c r="L19" s="276"/>
      <c r="M19" s="276"/>
      <c r="N19" s="4"/>
    </row>
    <row r="20" spans="1:15" x14ac:dyDescent="0.25">
      <c r="A20" s="25"/>
      <c r="B20" s="77">
        <v>40</v>
      </c>
      <c r="C20" s="22">
        <v>50</v>
      </c>
      <c r="D20" s="22">
        <v>10</v>
      </c>
      <c r="E20" s="22">
        <f>IF(ISBLANK(B20),"***",(B20-C20)/D20)</f>
        <v>-1</v>
      </c>
      <c r="F20" s="155">
        <f t="shared" si="7"/>
        <v>40</v>
      </c>
      <c r="G20" s="22">
        <f t="shared" si="8"/>
        <v>7</v>
      </c>
      <c r="H20" s="155">
        <f t="shared" si="9"/>
        <v>85</v>
      </c>
      <c r="I20" s="163">
        <f t="shared" si="10"/>
        <v>15.865525393145699</v>
      </c>
      <c r="K20" s="276"/>
      <c r="L20" s="276"/>
      <c r="M20" s="276"/>
      <c r="N20" s="6"/>
    </row>
    <row r="21" spans="1:15" x14ac:dyDescent="0.25">
      <c r="A21" s="25"/>
      <c r="B21" s="77">
        <v>50</v>
      </c>
      <c r="C21" s="22">
        <v>50</v>
      </c>
      <c r="D21" s="22">
        <v>10</v>
      </c>
      <c r="E21" s="22">
        <f t="shared" ref="E21:E34" si="11">IF(ISBLANK(B21),"***",(B21-C21)/D21)</f>
        <v>0</v>
      </c>
      <c r="F21" s="155">
        <f t="shared" si="7"/>
        <v>50</v>
      </c>
      <c r="G21" s="22">
        <f t="shared" si="8"/>
        <v>10</v>
      </c>
      <c r="H21" s="155">
        <f t="shared" si="9"/>
        <v>100</v>
      </c>
      <c r="I21" s="163">
        <f t="shared" si="10"/>
        <v>50</v>
      </c>
      <c r="K21" s="276"/>
      <c r="L21" s="276"/>
      <c r="M21" s="276"/>
      <c r="N21" s="6"/>
    </row>
    <row r="22" spans="1:15" x14ac:dyDescent="0.25">
      <c r="A22" s="25"/>
      <c r="B22" s="77">
        <v>60</v>
      </c>
      <c r="C22" s="22">
        <v>50</v>
      </c>
      <c r="D22" s="22">
        <v>10</v>
      </c>
      <c r="E22" s="22">
        <f t="shared" si="11"/>
        <v>1</v>
      </c>
      <c r="F22" s="155">
        <f t="shared" si="7"/>
        <v>60</v>
      </c>
      <c r="G22" s="22">
        <f t="shared" si="8"/>
        <v>13</v>
      </c>
      <c r="H22" s="155">
        <f t="shared" si="9"/>
        <v>115</v>
      </c>
      <c r="I22" s="163">
        <f t="shared" si="10"/>
        <v>84.134474606854297</v>
      </c>
      <c r="K22" s="276"/>
      <c r="L22" s="276"/>
      <c r="M22" s="276"/>
      <c r="N22" s="6"/>
    </row>
    <row r="23" spans="1:15" x14ac:dyDescent="0.25">
      <c r="A23" s="21" t="s">
        <v>77</v>
      </c>
      <c r="B23" s="23">
        <v>10</v>
      </c>
      <c r="C23" s="23">
        <v>10</v>
      </c>
      <c r="D23" s="23">
        <v>3</v>
      </c>
      <c r="E23" s="23">
        <f t="shared" si="11"/>
        <v>0</v>
      </c>
      <c r="F23" s="123">
        <f t="shared" si="7"/>
        <v>50</v>
      </c>
      <c r="G23" s="23">
        <f t="shared" si="8"/>
        <v>10</v>
      </c>
      <c r="H23" s="123">
        <f t="shared" si="9"/>
        <v>100</v>
      </c>
      <c r="I23" s="159">
        <f t="shared" si="10"/>
        <v>50</v>
      </c>
      <c r="K23" s="276"/>
      <c r="L23" s="276"/>
      <c r="M23" s="276"/>
      <c r="N23" s="6"/>
    </row>
    <row r="24" spans="1:15" x14ac:dyDescent="0.25">
      <c r="A24" s="25"/>
      <c r="B24" s="77">
        <v>15</v>
      </c>
      <c r="C24" s="22">
        <v>10</v>
      </c>
      <c r="D24" s="22">
        <v>3</v>
      </c>
      <c r="E24" s="22">
        <f t="shared" si="11"/>
        <v>1.6666666666666667</v>
      </c>
      <c r="F24" s="155">
        <f t="shared" si="7"/>
        <v>66.666666666666671</v>
      </c>
      <c r="G24" s="22">
        <f>IF(ISBLANK(B24),"***",(E24*3+10))</f>
        <v>15</v>
      </c>
      <c r="H24" s="155">
        <f t="shared" si="9"/>
        <v>125</v>
      </c>
      <c r="I24" s="163">
        <f t="shared" si="10"/>
        <v>95.220964772718531</v>
      </c>
      <c r="K24" s="276"/>
      <c r="L24" s="276"/>
      <c r="M24" s="276"/>
      <c r="N24" s="6"/>
    </row>
    <row r="25" spans="1:15" x14ac:dyDescent="0.25">
      <c r="A25" s="25"/>
      <c r="B25" s="77"/>
      <c r="C25" s="22">
        <v>10</v>
      </c>
      <c r="D25" s="22">
        <v>3</v>
      </c>
      <c r="E25" s="22" t="str">
        <f t="shared" si="11"/>
        <v>***</v>
      </c>
      <c r="F25" s="155" t="str">
        <f t="shared" si="7"/>
        <v>***</v>
      </c>
      <c r="G25" s="22" t="str">
        <f t="shared" si="8"/>
        <v>***</v>
      </c>
      <c r="H25" s="155" t="str">
        <f t="shared" si="9"/>
        <v>***</v>
      </c>
      <c r="I25" s="163" t="str">
        <f t="shared" si="10"/>
        <v>***</v>
      </c>
    </row>
    <row r="26" spans="1:15" x14ac:dyDescent="0.25">
      <c r="A26" s="25"/>
      <c r="B26" s="77"/>
      <c r="C26" s="22">
        <v>10</v>
      </c>
      <c r="D26" s="22">
        <v>3</v>
      </c>
      <c r="E26" s="22" t="str">
        <f t="shared" si="11"/>
        <v>***</v>
      </c>
      <c r="F26" s="155" t="str">
        <f t="shared" si="7"/>
        <v>***</v>
      </c>
      <c r="G26" s="22" t="str">
        <f t="shared" si="8"/>
        <v>***</v>
      </c>
      <c r="H26" s="155" t="str">
        <f t="shared" si="9"/>
        <v>***</v>
      </c>
      <c r="I26" s="163" t="str">
        <f t="shared" si="10"/>
        <v>***</v>
      </c>
    </row>
    <row r="27" spans="1:15" x14ac:dyDescent="0.25">
      <c r="A27" s="21" t="s">
        <v>78</v>
      </c>
      <c r="B27" s="23">
        <v>100</v>
      </c>
      <c r="C27" s="23">
        <v>100</v>
      </c>
      <c r="D27" s="23">
        <v>15</v>
      </c>
      <c r="E27" s="23">
        <f t="shared" si="11"/>
        <v>0</v>
      </c>
      <c r="F27" s="123">
        <f t="shared" si="7"/>
        <v>50</v>
      </c>
      <c r="G27" s="23">
        <f t="shared" si="8"/>
        <v>10</v>
      </c>
      <c r="H27" s="123">
        <f t="shared" si="9"/>
        <v>100</v>
      </c>
      <c r="I27" s="159">
        <f t="shared" si="10"/>
        <v>50</v>
      </c>
    </row>
    <row r="28" spans="1:15" x14ac:dyDescent="0.25">
      <c r="A28" s="25"/>
      <c r="B28" s="77">
        <v>90</v>
      </c>
      <c r="C28" s="22">
        <v>100</v>
      </c>
      <c r="D28" s="22">
        <v>15</v>
      </c>
      <c r="E28" s="22">
        <f t="shared" si="11"/>
        <v>-0.66666666666666663</v>
      </c>
      <c r="F28" s="155">
        <f t="shared" si="7"/>
        <v>43.333333333333336</v>
      </c>
      <c r="G28" s="22">
        <f t="shared" si="8"/>
        <v>8</v>
      </c>
      <c r="H28" s="155">
        <f t="shared" si="9"/>
        <v>90</v>
      </c>
      <c r="I28" s="163">
        <f t="shared" si="10"/>
        <v>25.24925375469229</v>
      </c>
    </row>
    <row r="29" spans="1:15" x14ac:dyDescent="0.25">
      <c r="A29" s="25"/>
      <c r="B29" s="77">
        <v>85</v>
      </c>
      <c r="C29" s="22">
        <v>100</v>
      </c>
      <c r="D29" s="22">
        <v>15</v>
      </c>
      <c r="E29" s="22">
        <f t="shared" si="11"/>
        <v>-1</v>
      </c>
      <c r="F29" s="155">
        <f t="shared" si="7"/>
        <v>40</v>
      </c>
      <c r="G29" s="22">
        <f t="shared" si="8"/>
        <v>7</v>
      </c>
      <c r="H29" s="155">
        <f t="shared" si="9"/>
        <v>85</v>
      </c>
      <c r="I29" s="163">
        <f t="shared" si="10"/>
        <v>15.865525393145699</v>
      </c>
    </row>
    <row r="30" spans="1:15" x14ac:dyDescent="0.25">
      <c r="A30" s="25"/>
      <c r="B30" s="77"/>
      <c r="C30" s="22">
        <v>100</v>
      </c>
      <c r="D30" s="22">
        <v>15</v>
      </c>
      <c r="E30" s="22" t="str">
        <f t="shared" si="11"/>
        <v>***</v>
      </c>
      <c r="F30" s="155" t="str">
        <f t="shared" si="7"/>
        <v>***</v>
      </c>
      <c r="G30" s="22" t="str">
        <f t="shared" si="8"/>
        <v>***</v>
      </c>
      <c r="H30" s="155" t="str">
        <f t="shared" si="9"/>
        <v>***</v>
      </c>
      <c r="I30" s="163" t="str">
        <f t="shared" si="10"/>
        <v>***</v>
      </c>
    </row>
    <row r="31" spans="1:15" x14ac:dyDescent="0.25">
      <c r="A31" s="21" t="s">
        <v>79</v>
      </c>
      <c r="B31" s="23">
        <v>5.5</v>
      </c>
      <c r="C31" s="23">
        <v>5.5</v>
      </c>
      <c r="D31" s="23">
        <v>2</v>
      </c>
      <c r="E31" s="23">
        <f t="shared" si="11"/>
        <v>0</v>
      </c>
      <c r="F31" s="123">
        <f t="shared" si="7"/>
        <v>50</v>
      </c>
      <c r="G31" s="23">
        <f t="shared" si="8"/>
        <v>10</v>
      </c>
      <c r="H31" s="123">
        <f t="shared" si="9"/>
        <v>100</v>
      </c>
      <c r="I31" s="159">
        <f t="shared" si="10"/>
        <v>50</v>
      </c>
    </row>
    <row r="32" spans="1:15" x14ac:dyDescent="0.25">
      <c r="A32" s="25"/>
      <c r="B32" s="77">
        <v>7.5</v>
      </c>
      <c r="C32" s="22">
        <v>5.5</v>
      </c>
      <c r="D32" s="22">
        <v>2</v>
      </c>
      <c r="E32" s="22">
        <f t="shared" si="11"/>
        <v>1</v>
      </c>
      <c r="F32" s="155">
        <f t="shared" si="7"/>
        <v>60</v>
      </c>
      <c r="G32" s="22">
        <f t="shared" si="8"/>
        <v>13</v>
      </c>
      <c r="H32" s="155">
        <f t="shared" si="9"/>
        <v>115</v>
      </c>
      <c r="I32" s="163">
        <f t="shared" si="10"/>
        <v>84.134474606854297</v>
      </c>
    </row>
    <row r="33" spans="1:9" x14ac:dyDescent="0.25">
      <c r="A33" s="25"/>
      <c r="B33" s="77">
        <v>3.5</v>
      </c>
      <c r="C33" s="22">
        <v>5.5</v>
      </c>
      <c r="D33" s="22">
        <v>2</v>
      </c>
      <c r="E33" s="22">
        <f t="shared" si="11"/>
        <v>-1</v>
      </c>
      <c r="F33" s="155">
        <f t="shared" si="7"/>
        <v>40</v>
      </c>
      <c r="G33" s="22">
        <f t="shared" si="8"/>
        <v>7</v>
      </c>
      <c r="H33" s="155">
        <f t="shared" si="9"/>
        <v>85</v>
      </c>
      <c r="I33" s="163">
        <f t="shared" si="10"/>
        <v>15.865525393145699</v>
      </c>
    </row>
    <row r="34" spans="1:9" x14ac:dyDescent="0.25">
      <c r="A34" s="25"/>
      <c r="B34" s="77"/>
      <c r="C34" s="22">
        <v>5.5</v>
      </c>
      <c r="D34" s="22">
        <v>2</v>
      </c>
      <c r="E34" s="22" t="str">
        <f t="shared" si="11"/>
        <v>***</v>
      </c>
      <c r="F34" s="155" t="str">
        <f t="shared" si="7"/>
        <v>***</v>
      </c>
      <c r="G34" s="22" t="str">
        <f t="shared" si="8"/>
        <v>***</v>
      </c>
      <c r="H34" s="155" t="str">
        <f t="shared" si="9"/>
        <v>***</v>
      </c>
      <c r="I34" s="163" t="str">
        <f t="shared" si="10"/>
        <v>***</v>
      </c>
    </row>
  </sheetData>
  <mergeCells count="6">
    <mergeCell ref="K24:M24"/>
    <mergeCell ref="K19:M19"/>
    <mergeCell ref="K20:M20"/>
    <mergeCell ref="K21:M21"/>
    <mergeCell ref="K22:M22"/>
    <mergeCell ref="K23:M23"/>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workbookViewId="0">
      <selection activeCell="G10" sqref="G10"/>
    </sheetView>
  </sheetViews>
  <sheetFormatPr defaultColWidth="8.85546875" defaultRowHeight="15" x14ac:dyDescent="0.25"/>
  <cols>
    <col min="1" max="1" width="10" style="39" customWidth="1"/>
    <col min="2" max="2" width="20.85546875" style="39" customWidth="1"/>
    <col min="3" max="3" width="10" style="39" customWidth="1"/>
    <col min="4" max="4" width="20.85546875" style="39" customWidth="1"/>
    <col min="5" max="10" width="8.85546875" style="39"/>
    <col min="11" max="11" width="8.85546875" style="40"/>
    <col min="12" max="16" width="8.85546875" style="42"/>
    <col min="17" max="18" width="8.85546875" style="40"/>
    <col min="19" max="16384" width="8.85546875" style="39"/>
  </cols>
  <sheetData>
    <row r="1" spans="1:15" ht="6" customHeight="1" x14ac:dyDescent="0.25">
      <c r="L1" s="41">
        <v>4</v>
      </c>
    </row>
    <row r="2" spans="1:15" ht="6" customHeight="1" x14ac:dyDescent="0.25">
      <c r="L2" s="41">
        <v>7</v>
      </c>
    </row>
    <row r="3" spans="1:15" ht="6" customHeight="1" x14ac:dyDescent="0.25">
      <c r="L3" s="42" t="s">
        <v>138</v>
      </c>
      <c r="M3" s="42">
        <v>0</v>
      </c>
      <c r="N3" s="42">
        <v>1</v>
      </c>
      <c r="O3" s="42" t="s">
        <v>138</v>
      </c>
    </row>
    <row r="4" spans="1:15" ht="26.25" x14ac:dyDescent="0.4">
      <c r="B4" s="43">
        <v>7</v>
      </c>
      <c r="C4" s="44" t="s">
        <v>139</v>
      </c>
      <c r="D4" s="45">
        <f>IF(L17,M16,M15)</f>
        <v>85</v>
      </c>
      <c r="L4" s="42" t="s">
        <v>140</v>
      </c>
      <c r="M4" s="42">
        <v>5</v>
      </c>
      <c r="N4" s="42">
        <v>2</v>
      </c>
      <c r="O4" s="42" t="s">
        <v>140</v>
      </c>
    </row>
    <row r="5" spans="1:15" x14ac:dyDescent="0.25">
      <c r="L5" s="42" t="s">
        <v>141</v>
      </c>
      <c r="M5" s="42">
        <v>5.5</v>
      </c>
      <c r="N5" s="42">
        <v>2</v>
      </c>
      <c r="O5" s="42" t="s">
        <v>141</v>
      </c>
    </row>
    <row r="6" spans="1:15" x14ac:dyDescent="0.25">
      <c r="L6" s="42" t="s">
        <v>142</v>
      </c>
      <c r="M6" s="42">
        <v>10</v>
      </c>
      <c r="N6" s="42">
        <v>3</v>
      </c>
      <c r="O6" s="42" t="s">
        <v>142</v>
      </c>
    </row>
    <row r="7" spans="1:15" x14ac:dyDescent="0.25">
      <c r="L7" s="42" t="s">
        <v>143</v>
      </c>
      <c r="M7" s="42">
        <v>50</v>
      </c>
      <c r="N7" s="42">
        <v>10</v>
      </c>
      <c r="O7" s="42" t="s">
        <v>143</v>
      </c>
    </row>
    <row r="8" spans="1:15" x14ac:dyDescent="0.25">
      <c r="L8" s="42" t="s">
        <v>144</v>
      </c>
      <c r="M8" s="42">
        <v>50</v>
      </c>
      <c r="N8" s="42">
        <v>21.06</v>
      </c>
      <c r="O8" s="42" t="s">
        <v>144</v>
      </c>
    </row>
    <row r="9" spans="1:15" x14ac:dyDescent="0.25">
      <c r="L9" s="42" t="s">
        <v>145</v>
      </c>
      <c r="M9" s="42">
        <v>100</v>
      </c>
      <c r="N9" s="42">
        <v>15</v>
      </c>
      <c r="O9" s="42" t="s">
        <v>145</v>
      </c>
    </row>
    <row r="10" spans="1:15" x14ac:dyDescent="0.25">
      <c r="L10" s="42" t="s">
        <v>146</v>
      </c>
      <c r="M10" s="42">
        <v>100</v>
      </c>
      <c r="N10" s="42">
        <v>16</v>
      </c>
      <c r="O10" s="42" t="s">
        <v>146</v>
      </c>
    </row>
    <row r="11" spans="1:15" x14ac:dyDescent="0.25">
      <c r="L11" s="42" t="str">
        <f>"Custom ("&amp;B13&amp;","&amp;B14&amp;")"</f>
        <v>Custom (100,10)</v>
      </c>
      <c r="M11" s="42">
        <f>B13</f>
        <v>100</v>
      </c>
      <c r="N11" s="42">
        <f>B14</f>
        <v>10</v>
      </c>
      <c r="O11" s="42" t="str">
        <f>"Custom ("&amp;D13&amp;","&amp;D14&amp;")"</f>
        <v>Custom (200,25)</v>
      </c>
    </row>
    <row r="12" spans="1:15" x14ac:dyDescent="0.25">
      <c r="L12" s="42" t="str">
        <f>"Custom ("&amp;D13&amp;","&amp;D14&amp;")"</f>
        <v>Custom (200,25)</v>
      </c>
      <c r="M12" s="42">
        <f>D13</f>
        <v>200</v>
      </c>
      <c r="N12" s="42">
        <f>D14</f>
        <v>25</v>
      </c>
    </row>
    <row r="13" spans="1:15" ht="23.25" x14ac:dyDescent="0.35">
      <c r="A13" s="46" t="s">
        <v>1</v>
      </c>
      <c r="B13" s="47">
        <v>100</v>
      </c>
      <c r="C13" s="46" t="s">
        <v>1</v>
      </c>
      <c r="D13" s="47">
        <v>200</v>
      </c>
    </row>
    <row r="14" spans="1:15" ht="23.25" x14ac:dyDescent="0.35">
      <c r="A14" s="46" t="s">
        <v>2</v>
      </c>
      <c r="B14" s="47">
        <v>10</v>
      </c>
      <c r="C14" s="46" t="s">
        <v>2</v>
      </c>
      <c r="D14" s="47">
        <v>25</v>
      </c>
      <c r="L14" s="42" t="s">
        <v>147</v>
      </c>
      <c r="M14" s="42">
        <f>(B4-INDEX(M3:M11,L1))/INDEX(N3:N11,L1)</f>
        <v>-1</v>
      </c>
    </row>
    <row r="15" spans="1:15" x14ac:dyDescent="0.25">
      <c r="L15" s="42" t="s">
        <v>148</v>
      </c>
      <c r="M15" s="42">
        <f>M14*INDEX(N3:N12,IF(L2=9,10,L2))+INDEX(M3:M12,IF(L2=9,10,L2))</f>
        <v>85</v>
      </c>
    </row>
    <row r="16" spans="1:15" x14ac:dyDescent="0.25">
      <c r="L16" s="42" t="s">
        <v>149</v>
      </c>
      <c r="M16" s="42">
        <f>ROUND(M15,0)</f>
        <v>85</v>
      </c>
    </row>
    <row r="17" spans="12:17" x14ac:dyDescent="0.25">
      <c r="L17" s="41" t="b">
        <v>1</v>
      </c>
    </row>
    <row r="18" spans="12:17" x14ac:dyDescent="0.25">
      <c r="L18" s="42" t="str">
        <f>INDEX(O3:O11,L2)&amp;" = "&amp;M19&amp;CHAR(12)&amp;"Percentile = "&amp;M21</f>
        <v>Index (100,15) = 85_x000C_Percentile = 95</v>
      </c>
    </row>
    <row r="19" spans="12:17" x14ac:dyDescent="0.25">
      <c r="M19" s="42">
        <f>ROUND(D4,1)</f>
        <v>85</v>
      </c>
      <c r="O19" s="42">
        <v>5</v>
      </c>
      <c r="P19" s="42">
        <v>1</v>
      </c>
    </row>
    <row r="20" spans="12:17" x14ac:dyDescent="0.25">
      <c r="M20" s="42">
        <f>NORMDIST(D4,[1]Sheet2!F1,[1]Sheet2!G1,TRUE)*100</f>
        <v>95.173542441717103</v>
      </c>
      <c r="N20" s="42">
        <v>99.999899999999997</v>
      </c>
      <c r="O20" s="42">
        <v>4</v>
      </c>
      <c r="P20" s="42">
        <f>IF($M$20&lt;=N20,1,0)</f>
        <v>1</v>
      </c>
    </row>
    <row r="21" spans="12:17" x14ac:dyDescent="0.25">
      <c r="M21" s="42">
        <f>ROUND(M20,Q30)</f>
        <v>95</v>
      </c>
      <c r="N21" s="42">
        <v>99.998999999999995</v>
      </c>
      <c r="O21" s="42">
        <v>3</v>
      </c>
      <c r="P21" s="42">
        <f t="shared" ref="P21:P29" si="0">IF($M$20&lt;=N21,1,0)</f>
        <v>1</v>
      </c>
    </row>
    <row r="22" spans="12:17" x14ac:dyDescent="0.25">
      <c r="N22" s="42">
        <v>99.99</v>
      </c>
      <c r="O22" s="42">
        <v>2</v>
      </c>
      <c r="P22" s="42">
        <f t="shared" si="0"/>
        <v>1</v>
      </c>
    </row>
    <row r="23" spans="12:17" x14ac:dyDescent="0.25">
      <c r="N23" s="42">
        <v>99.9</v>
      </c>
      <c r="O23" s="42">
        <v>1</v>
      </c>
      <c r="P23" s="42">
        <f t="shared" si="0"/>
        <v>1</v>
      </c>
    </row>
    <row r="24" spans="12:17" x14ac:dyDescent="0.25">
      <c r="N24" s="42">
        <v>99</v>
      </c>
      <c r="O24" s="42">
        <v>0</v>
      </c>
      <c r="P24" s="42">
        <f t="shared" si="0"/>
        <v>1</v>
      </c>
    </row>
    <row r="25" spans="12:17" x14ac:dyDescent="0.25">
      <c r="N25" s="42">
        <v>1</v>
      </c>
      <c r="O25" s="42">
        <v>1</v>
      </c>
      <c r="P25" s="42">
        <f t="shared" si="0"/>
        <v>0</v>
      </c>
    </row>
    <row r="26" spans="12:17" x14ac:dyDescent="0.25">
      <c r="N26" s="42">
        <v>0.1</v>
      </c>
      <c r="O26" s="42">
        <v>2</v>
      </c>
      <c r="P26" s="42">
        <f t="shared" si="0"/>
        <v>0</v>
      </c>
    </row>
    <row r="27" spans="12:17" x14ac:dyDescent="0.25">
      <c r="N27" s="42">
        <v>0.01</v>
      </c>
      <c r="O27" s="42">
        <v>3</v>
      </c>
      <c r="P27" s="42">
        <f t="shared" si="0"/>
        <v>0</v>
      </c>
    </row>
    <row r="28" spans="12:17" x14ac:dyDescent="0.25">
      <c r="N28" s="42">
        <v>1E-3</v>
      </c>
      <c r="O28" s="42">
        <v>4</v>
      </c>
      <c r="P28" s="42">
        <f t="shared" si="0"/>
        <v>0</v>
      </c>
    </row>
    <row r="29" spans="12:17" x14ac:dyDescent="0.25">
      <c r="N29" s="42">
        <v>1E-4</v>
      </c>
      <c r="O29" s="42">
        <v>5</v>
      </c>
      <c r="P29" s="42">
        <f t="shared" si="0"/>
        <v>0</v>
      </c>
    </row>
    <row r="30" spans="12:17" x14ac:dyDescent="0.25">
      <c r="P30" s="42">
        <f>SUM(P19:P29)</f>
        <v>6</v>
      </c>
      <c r="Q30" s="40">
        <f>INDEX(O19:O29,P30)</f>
        <v>0</v>
      </c>
    </row>
  </sheetData>
  <sheetProtection sheet="1" objects="1" scenarios="1"/>
  <conditionalFormatting sqref="A13:A14">
    <cfRule type="expression" dxfId="3" priority="4">
      <formula>$L$1=9</formula>
    </cfRule>
  </conditionalFormatting>
  <conditionalFormatting sqref="B13:B14">
    <cfRule type="expression" dxfId="2" priority="3">
      <formula>$L$1=9</formula>
    </cfRule>
  </conditionalFormatting>
  <conditionalFormatting sqref="C13:C14">
    <cfRule type="expression" dxfId="1" priority="1">
      <formula>$L$2=9</formula>
    </cfRule>
  </conditionalFormatting>
  <conditionalFormatting sqref="D13:D14">
    <cfRule type="expression" dxfId="0" priority="2">
      <formula>$L$2=9</formula>
    </cfRule>
  </conditionalFormatting>
  <pageMargins left="0.7" right="0.7" top="0.75" bottom="0.75" header="0.3" footer="0.3"/>
  <pageSetup paperSize="32767"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List Box 1">
              <controlPr defaultSize="0" autoLine="0" autoPict="0">
                <anchor moveWithCells="1">
                  <from>
                    <xdr:col>1</xdr:col>
                    <xdr:colOff>9525</xdr:colOff>
                    <xdr:row>4</xdr:row>
                    <xdr:rowOff>38100</xdr:rowOff>
                  </from>
                  <to>
                    <xdr:col>1</xdr:col>
                    <xdr:colOff>1381125</xdr:colOff>
                    <xdr:row>10</xdr:row>
                    <xdr:rowOff>66675</xdr:rowOff>
                  </to>
                </anchor>
              </controlPr>
            </control>
          </mc:Choice>
        </mc:AlternateContent>
        <mc:AlternateContent xmlns:mc="http://schemas.openxmlformats.org/markup-compatibility/2006">
          <mc:Choice Requires="x14">
            <control shapeId="12290" r:id="rId5" name="List Box 2">
              <controlPr defaultSize="0" autoLine="0" autoPict="0">
                <anchor moveWithCells="1">
                  <from>
                    <xdr:col>3</xdr:col>
                    <xdr:colOff>9525</xdr:colOff>
                    <xdr:row>4</xdr:row>
                    <xdr:rowOff>47625</xdr:rowOff>
                  </from>
                  <to>
                    <xdr:col>3</xdr:col>
                    <xdr:colOff>1381125</xdr:colOff>
                    <xdr:row>10</xdr:row>
                    <xdr:rowOff>76200</xdr:rowOff>
                  </to>
                </anchor>
              </controlPr>
            </control>
          </mc:Choice>
        </mc:AlternateContent>
        <mc:AlternateContent xmlns:mc="http://schemas.openxmlformats.org/markup-compatibility/2006">
          <mc:Choice Requires="x14">
            <control shapeId="12291" r:id="rId6" name="Check Box 3">
              <controlPr defaultSize="0" autoFill="0" autoLine="0" autoPict="0">
                <anchor moveWithCells="1">
                  <from>
                    <xdr:col>4</xdr:col>
                    <xdr:colOff>123825</xdr:colOff>
                    <xdr:row>3</xdr:row>
                    <xdr:rowOff>0</xdr:rowOff>
                  </from>
                  <to>
                    <xdr:col>7</xdr:col>
                    <xdr:colOff>47625</xdr:colOff>
                    <xdr:row>3</xdr:row>
                    <xdr:rowOff>238125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6"/>
  <sheetViews>
    <sheetView showGridLines="0" tabSelected="1" workbookViewId="0">
      <pane ySplit="1" topLeftCell="A2" activePane="bottomLeft" state="frozen"/>
      <selection pane="bottomLeft" activeCell="P31" sqref="P31"/>
    </sheetView>
  </sheetViews>
  <sheetFormatPr defaultRowHeight="15" x14ac:dyDescent="0.25"/>
  <cols>
    <col min="2" max="4" width="11.42578125" customWidth="1"/>
  </cols>
  <sheetData>
    <row r="1" spans="1:10" ht="20.25" x14ac:dyDescent="0.3">
      <c r="A1" s="55" t="s">
        <v>180</v>
      </c>
      <c r="B1" s="2"/>
      <c r="C1" s="2"/>
      <c r="D1" s="2"/>
      <c r="E1" s="2"/>
      <c r="F1" s="2"/>
      <c r="G1" s="2"/>
      <c r="H1" s="2"/>
      <c r="I1" s="2"/>
      <c r="J1" s="2"/>
    </row>
    <row r="3" spans="1:10" x14ac:dyDescent="0.25">
      <c r="A3" s="3"/>
    </row>
    <row r="4" spans="1:10" x14ac:dyDescent="0.25">
      <c r="A4" s="3"/>
    </row>
    <row r="5" spans="1:10" x14ac:dyDescent="0.25">
      <c r="A5" s="3"/>
    </row>
    <row r="18" spans="2:4" x14ac:dyDescent="0.25">
      <c r="B18" s="3" t="s">
        <v>80</v>
      </c>
    </row>
    <row r="19" spans="2:4" x14ac:dyDescent="0.25">
      <c r="B19" s="15" t="s">
        <v>81</v>
      </c>
    </row>
    <row r="21" spans="2:4" x14ac:dyDescent="0.25">
      <c r="B21" s="3" t="s">
        <v>82</v>
      </c>
    </row>
    <row r="22" spans="2:4" x14ac:dyDescent="0.25">
      <c r="B22" s="3"/>
    </row>
    <row r="23" spans="2:4" x14ac:dyDescent="0.25">
      <c r="B23" s="3" t="s">
        <v>83</v>
      </c>
    </row>
    <row r="24" spans="2:4" x14ac:dyDescent="0.25">
      <c r="B24" s="3"/>
    </row>
    <row r="25" spans="2:4" x14ac:dyDescent="0.25">
      <c r="B25" s="3" t="s">
        <v>84</v>
      </c>
    </row>
    <row r="27" spans="2:4" x14ac:dyDescent="0.25">
      <c r="B27" s="4"/>
      <c r="C27" s="4"/>
      <c r="D27" s="4"/>
    </row>
    <row r="28" spans="2:4" x14ac:dyDescent="0.25">
      <c r="B28" s="4"/>
      <c r="C28" s="4"/>
      <c r="D28" s="4"/>
    </row>
    <row r="39" spans="2:2" x14ac:dyDescent="0.25">
      <c r="B39" s="3"/>
    </row>
    <row r="66" spans="6:6" x14ac:dyDescent="0.25">
      <c r="F66" t="s">
        <v>85</v>
      </c>
    </row>
  </sheetData>
  <hyperlinks>
    <hyperlink ref="B19" r:id="rId1" xr:uid="{00000000-0004-0000-0500-000000000000}"/>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BEF24-0CEA-42D7-9160-FFE5CD0BCB07}">
  <dimension ref="A1:M35"/>
  <sheetViews>
    <sheetView showGridLines="0" workbookViewId="0">
      <pane xSplit="1" ySplit="2" topLeftCell="B3" activePane="bottomRight" state="frozen"/>
      <selection pane="topRight" activeCell="B1" sqref="B1"/>
      <selection pane="bottomLeft" activeCell="A4" sqref="A4"/>
      <selection pane="bottomRight" activeCell="C5" sqref="C5"/>
    </sheetView>
  </sheetViews>
  <sheetFormatPr defaultRowHeight="15" x14ac:dyDescent="0.25"/>
  <cols>
    <col min="1" max="1" width="20" customWidth="1"/>
    <col min="2" max="2" width="55.140625" customWidth="1"/>
    <col min="3" max="3" width="20" style="6" customWidth="1"/>
    <col min="4" max="5" width="14.28515625" style="14" customWidth="1"/>
    <col min="6" max="6" width="14.28515625" customWidth="1"/>
    <col min="7" max="7" width="14.28515625" style="11" customWidth="1"/>
    <col min="8" max="8" width="14.28515625" style="8" customWidth="1"/>
    <col min="9" max="9" width="31.85546875" customWidth="1"/>
  </cols>
  <sheetData>
    <row r="1" spans="1:13" ht="20.25" x14ac:dyDescent="0.3">
      <c r="A1" s="55" t="s">
        <v>339</v>
      </c>
      <c r="B1" s="55"/>
      <c r="C1" s="7"/>
      <c r="D1" s="232"/>
      <c r="E1" s="232"/>
      <c r="F1" s="2"/>
      <c r="G1" s="12"/>
      <c r="H1" s="13"/>
      <c r="I1" s="2"/>
      <c r="J1" s="2"/>
      <c r="K1" s="2"/>
      <c r="L1" s="2"/>
      <c r="M1" s="2"/>
    </row>
    <row r="3" spans="1:13" ht="30" customHeight="1" x14ac:dyDescent="0.25">
      <c r="A3" s="234"/>
      <c r="B3" s="54" t="s">
        <v>340</v>
      </c>
      <c r="C3" s="239" t="s">
        <v>14</v>
      </c>
      <c r="D3" s="235" t="s">
        <v>1</v>
      </c>
      <c r="E3" s="235" t="s">
        <v>2</v>
      </c>
      <c r="F3" s="236" t="s">
        <v>13</v>
      </c>
      <c r="G3" s="237" t="s">
        <v>11</v>
      </c>
      <c r="H3" s="238" t="s">
        <v>12</v>
      </c>
      <c r="I3" s="236" t="s">
        <v>16</v>
      </c>
    </row>
    <row r="4" spans="1:13" x14ac:dyDescent="0.25">
      <c r="A4" s="122"/>
      <c r="B4" s="244" t="s">
        <v>351</v>
      </c>
      <c r="C4" s="122"/>
      <c r="D4" s="251"/>
      <c r="E4" s="251"/>
      <c r="F4" s="126"/>
      <c r="G4" s="130"/>
      <c r="H4" s="126"/>
      <c r="I4" s="118"/>
    </row>
    <row r="5" spans="1:13" x14ac:dyDescent="0.25">
      <c r="A5" s="122"/>
      <c r="B5" s="243" t="s">
        <v>342</v>
      </c>
      <c r="C5" s="136">
        <v>15</v>
      </c>
      <c r="D5" s="233">
        <v>35.799999999999997</v>
      </c>
      <c r="E5" s="233">
        <v>6.5</v>
      </c>
      <c r="F5" s="125">
        <f>(C5-D5)/E5</f>
        <v>-3.1999999999999997</v>
      </c>
      <c r="G5" s="129">
        <f>F5*15+100</f>
        <v>52.000000000000007</v>
      </c>
      <c r="H5" s="125">
        <f>NORMSDIST(F5)*100</f>
        <v>6.8713793791584821E-2</v>
      </c>
      <c r="I5" s="118"/>
    </row>
    <row r="6" spans="1:13" x14ac:dyDescent="0.25">
      <c r="A6" s="122"/>
      <c r="B6" s="243" t="s">
        <v>344</v>
      </c>
      <c r="C6" s="136">
        <v>15</v>
      </c>
      <c r="D6" s="233">
        <v>35.1</v>
      </c>
      <c r="E6" s="233">
        <v>6.9</v>
      </c>
      <c r="F6" s="125">
        <f t="shared" ref="F6:F7" si="0">(C6-D6)/E6</f>
        <v>-2.9130434782608696</v>
      </c>
      <c r="G6" s="129">
        <f t="shared" ref="G6:G7" si="1">F6*15+100</f>
        <v>56.304347826086953</v>
      </c>
      <c r="H6" s="125">
        <f t="shared" ref="H6:H7" si="2">NORMSDIST(F6)*100</f>
        <v>0.17896238131589762</v>
      </c>
      <c r="I6" s="118"/>
    </row>
    <row r="7" spans="1:13" x14ac:dyDescent="0.25">
      <c r="A7" s="122"/>
      <c r="B7" s="243" t="s">
        <v>343</v>
      </c>
      <c r="C7" s="136">
        <v>15</v>
      </c>
      <c r="D7" s="233">
        <v>38.1</v>
      </c>
      <c r="E7" s="233">
        <v>4.4000000000000004</v>
      </c>
      <c r="F7" s="125">
        <f t="shared" si="0"/>
        <v>-5.25</v>
      </c>
      <c r="G7" s="129">
        <f t="shared" si="1"/>
        <v>21.25</v>
      </c>
      <c r="H7" s="125">
        <f t="shared" si="2"/>
        <v>7.6049605164887011E-6</v>
      </c>
      <c r="I7" s="118"/>
    </row>
    <row r="8" spans="1:13" x14ac:dyDescent="0.25">
      <c r="A8" s="122"/>
      <c r="B8" s="243" t="s">
        <v>345</v>
      </c>
      <c r="C8" s="136">
        <v>15</v>
      </c>
      <c r="D8" s="251">
        <v>16.399999999999999</v>
      </c>
      <c r="E8" s="251">
        <v>6.3</v>
      </c>
      <c r="F8" s="126">
        <f t="shared" ref="F8" si="3">(C8-D8)/E8</f>
        <v>-0.22222222222222202</v>
      </c>
      <c r="G8" s="130">
        <f t="shared" ref="G8" si="4">F8*15+100</f>
        <v>96.666666666666671</v>
      </c>
      <c r="H8" s="126">
        <f t="shared" ref="H8" si="5">NORMSDIST(F8)*100</f>
        <v>41.207044787094269</v>
      </c>
      <c r="I8" s="118"/>
    </row>
    <row r="9" spans="1:13" x14ac:dyDescent="0.25">
      <c r="A9" s="122"/>
      <c r="B9" s="243" t="s">
        <v>346</v>
      </c>
      <c r="C9" s="136">
        <v>15</v>
      </c>
      <c r="D9" s="251">
        <v>17.8</v>
      </c>
      <c r="E9" s="251">
        <v>6.8</v>
      </c>
      <c r="F9" s="126">
        <f t="shared" ref="F9:F10" si="6">(C9-D9)/E9</f>
        <v>-0.41176470588235303</v>
      </c>
      <c r="G9" s="130">
        <f t="shared" ref="G9:G11" si="7">F9*15+100</f>
        <v>93.82352941176471</v>
      </c>
      <c r="H9" s="126">
        <f t="shared" ref="H9:H11" si="8">NORMSDIST(F9)*100</f>
        <v>34.025594645084325</v>
      </c>
      <c r="I9" s="118"/>
    </row>
    <row r="10" spans="1:13" x14ac:dyDescent="0.25">
      <c r="A10" s="122"/>
      <c r="B10" s="243" t="s">
        <v>347</v>
      </c>
      <c r="C10" s="136">
        <v>15</v>
      </c>
      <c r="D10" s="251">
        <v>15.4</v>
      </c>
      <c r="E10" s="251">
        <v>5.7</v>
      </c>
      <c r="F10" s="126">
        <f t="shared" si="6"/>
        <v>-7.0175438596491294E-2</v>
      </c>
      <c r="G10" s="130">
        <f t="shared" si="7"/>
        <v>98.94736842105263</v>
      </c>
      <c r="H10" s="126">
        <f t="shared" si="8"/>
        <v>47.202701164009639</v>
      </c>
      <c r="I10" s="118"/>
    </row>
    <row r="11" spans="1:13" x14ac:dyDescent="0.25">
      <c r="A11" s="122"/>
      <c r="B11" s="243" t="s">
        <v>348</v>
      </c>
      <c r="C11" s="136">
        <v>15</v>
      </c>
      <c r="D11" s="233">
        <v>17.600000000000001</v>
      </c>
      <c r="E11" s="233">
        <v>6.4</v>
      </c>
      <c r="F11" s="125">
        <f>(C11-D11)/E11</f>
        <v>-0.40625000000000022</v>
      </c>
      <c r="G11" s="129">
        <f t="shared" si="7"/>
        <v>93.90625</v>
      </c>
      <c r="H11" s="125">
        <f t="shared" si="8"/>
        <v>34.227945968395076</v>
      </c>
      <c r="I11" s="118"/>
    </row>
    <row r="12" spans="1:13" x14ac:dyDescent="0.25">
      <c r="A12" s="122"/>
      <c r="B12" s="243" t="s">
        <v>349</v>
      </c>
      <c r="C12" s="136">
        <v>15</v>
      </c>
      <c r="D12" s="233">
        <v>18.600000000000001</v>
      </c>
      <c r="E12" s="233">
        <v>6.6</v>
      </c>
      <c r="F12" s="125">
        <f t="shared" ref="F12" si="9">(C12-D12)/E12</f>
        <v>-0.54545454545454575</v>
      </c>
      <c r="G12" s="129">
        <f t="shared" ref="G12:G13" si="10">F12*15+100</f>
        <v>91.818181818181813</v>
      </c>
      <c r="H12" s="125">
        <f t="shared" ref="H12:H13" si="11">NORMSDIST(F12)*100</f>
        <v>29.272046728446337</v>
      </c>
      <c r="I12" s="118"/>
    </row>
    <row r="13" spans="1:13" x14ac:dyDescent="0.25">
      <c r="A13" s="122"/>
      <c r="B13" s="243" t="s">
        <v>350</v>
      </c>
      <c r="C13" s="136">
        <v>15</v>
      </c>
      <c r="D13" s="233">
        <v>16.399999999999999</v>
      </c>
      <c r="E13" s="233">
        <v>6.1</v>
      </c>
      <c r="F13" s="125">
        <f>(C13-D13)/E13</f>
        <v>-0.22950819672131126</v>
      </c>
      <c r="G13" s="129">
        <f t="shared" si="10"/>
        <v>96.557377049180332</v>
      </c>
      <c r="H13" s="125">
        <f t="shared" si="11"/>
        <v>40.923697528978366</v>
      </c>
      <c r="I13" s="118"/>
    </row>
    <row r="14" spans="1:13" x14ac:dyDescent="0.25">
      <c r="A14" s="122"/>
      <c r="B14" s="243"/>
      <c r="C14" s="122"/>
      <c r="D14" s="251"/>
      <c r="E14" s="251"/>
      <c r="F14" s="126"/>
      <c r="G14" s="130"/>
      <c r="H14" s="126"/>
      <c r="I14" s="118"/>
    </row>
    <row r="15" spans="1:13" x14ac:dyDescent="0.25">
      <c r="A15" s="122"/>
      <c r="B15" s="244" t="s">
        <v>352</v>
      </c>
      <c r="C15" s="122"/>
      <c r="D15" s="251"/>
      <c r="E15" s="251"/>
      <c r="F15" s="126"/>
      <c r="G15" s="130"/>
      <c r="H15" s="126"/>
      <c r="I15" s="118"/>
    </row>
    <row r="16" spans="1:13" x14ac:dyDescent="0.25">
      <c r="A16" s="122"/>
      <c r="B16" s="243" t="s">
        <v>354</v>
      </c>
      <c r="C16" s="136">
        <v>29</v>
      </c>
      <c r="D16" s="233">
        <v>36.4</v>
      </c>
      <c r="E16" s="233">
        <v>7.3</v>
      </c>
      <c r="F16" s="125">
        <f t="shared" ref="F16" si="12">(C16-D16)/E16</f>
        <v>-1.0136986301369861</v>
      </c>
      <c r="G16" s="129">
        <f t="shared" ref="G16" si="13">F16*15+100</f>
        <v>84.794520547945211</v>
      </c>
      <c r="H16" s="125">
        <f t="shared" ref="H16" si="14">NORMSDIST(F16)*100</f>
        <v>15.536328896597245</v>
      </c>
      <c r="I16" s="118"/>
    </row>
    <row r="17" spans="1:10" x14ac:dyDescent="0.25">
      <c r="A17" s="122"/>
      <c r="B17" s="243" t="s">
        <v>353</v>
      </c>
      <c r="C17" s="136">
        <v>29</v>
      </c>
      <c r="D17" s="233">
        <v>14.5</v>
      </c>
      <c r="E17" s="233">
        <v>5.8</v>
      </c>
      <c r="F17" s="125">
        <f t="shared" ref="F17" si="15">(C17-D17)/E17</f>
        <v>2.5</v>
      </c>
      <c r="G17" s="129">
        <f t="shared" ref="G17" si="16">F17*15+100</f>
        <v>137.5</v>
      </c>
      <c r="H17" s="125">
        <f t="shared" ref="H17" si="17">NORMSDIST(F17)*100</f>
        <v>99.379033467422389</v>
      </c>
      <c r="I17" s="118"/>
    </row>
    <row r="18" spans="1:10" x14ac:dyDescent="0.25">
      <c r="A18" s="122"/>
      <c r="B18" s="243"/>
      <c r="C18" s="122"/>
      <c r="D18" s="251"/>
      <c r="E18" s="251"/>
      <c r="F18" s="126"/>
      <c r="G18" s="130"/>
      <c r="H18" s="126"/>
      <c r="I18" s="118"/>
    </row>
    <row r="19" spans="1:10" x14ac:dyDescent="0.25">
      <c r="A19" s="122"/>
      <c r="B19" s="244" t="s">
        <v>341</v>
      </c>
      <c r="C19" s="124"/>
      <c r="D19" s="251"/>
      <c r="E19" s="251"/>
      <c r="F19" s="126"/>
      <c r="G19" s="130"/>
      <c r="H19" s="126"/>
      <c r="I19" s="118"/>
    </row>
    <row r="20" spans="1:10" x14ac:dyDescent="0.25">
      <c r="A20" s="245"/>
      <c r="B20" s="246" t="s">
        <v>358</v>
      </c>
      <c r="C20" s="247">
        <v>29</v>
      </c>
      <c r="D20" s="248">
        <v>35.19</v>
      </c>
      <c r="E20" s="248">
        <v>6.27</v>
      </c>
      <c r="F20" s="125">
        <f t="shared" ref="F20:F22" si="18">(C20-D20)/E20</f>
        <v>-0.98724082934609225</v>
      </c>
      <c r="G20" s="129">
        <f t="shared" ref="G20:G22" si="19">F20*15+100</f>
        <v>85.191387559808618</v>
      </c>
      <c r="H20" s="125">
        <f t="shared" ref="H20:H22" si="20">NORMSDIST(F20)*100</f>
        <v>16.176229514884234</v>
      </c>
      <c r="I20" s="249" t="s">
        <v>359</v>
      </c>
    </row>
    <row r="21" spans="1:10" x14ac:dyDescent="0.25">
      <c r="A21" s="245"/>
      <c r="B21" s="246" t="s">
        <v>360</v>
      </c>
      <c r="C21" s="247">
        <v>29</v>
      </c>
      <c r="D21" s="248">
        <v>36.4</v>
      </c>
      <c r="E21" s="248">
        <v>6.27</v>
      </c>
      <c r="F21" s="125">
        <f t="shared" si="18"/>
        <v>-1.1802232854864432</v>
      </c>
      <c r="G21" s="129">
        <f t="shared" si="19"/>
        <v>82.296650717703358</v>
      </c>
      <c r="H21" s="125">
        <f t="shared" si="20"/>
        <v>11.895571005632236</v>
      </c>
      <c r="I21" s="118"/>
    </row>
    <row r="22" spans="1:10" x14ac:dyDescent="0.25">
      <c r="A22" s="245"/>
      <c r="B22" s="246" t="s">
        <v>361</v>
      </c>
      <c r="C22" s="247">
        <v>29</v>
      </c>
      <c r="D22" s="248">
        <v>38.83</v>
      </c>
      <c r="E22" s="248">
        <v>6.27</v>
      </c>
      <c r="F22" s="125">
        <f t="shared" si="18"/>
        <v>-1.5677830940988835</v>
      </c>
      <c r="G22" s="129">
        <f t="shared" si="19"/>
        <v>76.483253588516746</v>
      </c>
      <c r="H22" s="125">
        <f t="shared" si="20"/>
        <v>5.8465880820732625</v>
      </c>
      <c r="I22" s="118"/>
    </row>
    <row r="23" spans="1:10" x14ac:dyDescent="0.25">
      <c r="A23" s="245"/>
      <c r="B23" s="246" t="s">
        <v>357</v>
      </c>
      <c r="C23" s="247">
        <v>29</v>
      </c>
      <c r="D23" s="252">
        <v>16.940000000000001</v>
      </c>
      <c r="E23" s="252">
        <v>5.59</v>
      </c>
      <c r="F23" s="253">
        <f t="shared" ref="F23" si="21">(C23-D23)/E23</f>
        <v>2.1574239713774594</v>
      </c>
      <c r="G23" s="254">
        <f t="shared" ref="G23" si="22">F23*15+100</f>
        <v>132.36135957066188</v>
      </c>
      <c r="H23" s="253">
        <f t="shared" ref="H23" si="23">NORMSDIST(F23)*100</f>
        <v>98.451367743806614</v>
      </c>
      <c r="I23" s="75"/>
      <c r="J23" s="75"/>
    </row>
    <row r="24" spans="1:10" x14ac:dyDescent="0.25">
      <c r="A24" s="245"/>
      <c r="B24" s="246" t="s">
        <v>355</v>
      </c>
      <c r="C24" s="247">
        <v>29</v>
      </c>
      <c r="D24" s="252">
        <v>17.89</v>
      </c>
      <c r="E24" s="252">
        <v>5.59</v>
      </c>
      <c r="F24" s="253">
        <f t="shared" ref="F24:F25" si="24">(C24-D24)/E24</f>
        <v>1.9874776386404294</v>
      </c>
      <c r="G24" s="254">
        <f t="shared" ref="G24:G25" si="25">F24*15+100</f>
        <v>129.81216457960645</v>
      </c>
      <c r="H24" s="253">
        <f t="shared" ref="H24:H25" si="26">NORMSDIST(F24)*100</f>
        <v>97.65652542417314</v>
      </c>
      <c r="I24" s="75"/>
      <c r="J24" s="75"/>
    </row>
    <row r="25" spans="1:10" x14ac:dyDescent="0.25">
      <c r="A25" s="245"/>
      <c r="B25" s="246" t="s">
        <v>356</v>
      </c>
      <c r="C25" s="247">
        <v>29</v>
      </c>
      <c r="D25" s="252">
        <v>14.88</v>
      </c>
      <c r="E25" s="252">
        <v>5.59</v>
      </c>
      <c r="F25" s="253">
        <f t="shared" si="24"/>
        <v>2.5259391771019679</v>
      </c>
      <c r="G25" s="254">
        <f t="shared" si="25"/>
        <v>137.88908765652951</v>
      </c>
      <c r="H25" s="253">
        <f t="shared" si="26"/>
        <v>99.423052716984742</v>
      </c>
      <c r="I25" s="75"/>
      <c r="J25" s="75"/>
    </row>
    <row r="26" spans="1:10" x14ac:dyDescent="0.25">
      <c r="A26" s="245"/>
      <c r="B26" s="250"/>
      <c r="C26" s="255"/>
      <c r="D26" s="256"/>
      <c r="E26" s="256"/>
      <c r="F26" s="257"/>
      <c r="G26" s="258"/>
      <c r="H26" s="257"/>
      <c r="I26" s="119"/>
      <c r="J26" s="75"/>
    </row>
    <row r="28" spans="1:10" x14ac:dyDescent="0.25">
      <c r="B28" s="242" t="s">
        <v>337</v>
      </c>
    </row>
    <row r="29" spans="1:10" x14ac:dyDescent="0.25">
      <c r="B29" s="3"/>
    </row>
    <row r="30" spans="1:10" x14ac:dyDescent="0.25">
      <c r="B30" s="3"/>
    </row>
    <row r="31" spans="1:10" x14ac:dyDescent="0.25">
      <c r="B31" s="240"/>
    </row>
    <row r="33" spans="2:2" x14ac:dyDescent="0.25">
      <c r="B33" s="242"/>
    </row>
    <row r="35" spans="2:2" x14ac:dyDescent="0.25">
      <c r="B35" s="241"/>
    </row>
  </sheetData>
  <hyperlinks>
    <hyperlink ref="B19" r:id="rId1" display="Rusich et al (2015)  Metanalysis of Neurotypical groups" xr:uid="{38258204-EAAF-4041-82EE-C33E65B3FFEA}"/>
    <hyperlink ref="B4" r:id="rId2" xr:uid="{146919B5-1D32-4214-857E-3894D9F976B0}"/>
    <hyperlink ref="B15" r:id="rId3" xr:uid="{9B05D90D-243E-4950-B389-B85089A1FF43}"/>
    <hyperlink ref="B28" r:id="rId4" xr:uid="{03816CE6-7721-4639-B566-C4C32319F8F0}"/>
  </hyperlinks>
  <pageMargins left="0.7" right="0.7" top="0.75" bottom="0.75" header="0.3" footer="0.3"/>
  <pageSetup paperSize="9" orientation="portrait" r:id="rId5"/>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6DC40-23AF-4B12-9570-E5D87F5C0208}">
  <dimension ref="A1:M16"/>
  <sheetViews>
    <sheetView showGridLines="0" workbookViewId="0">
      <pane xSplit="1" ySplit="2" topLeftCell="B3" activePane="bottomRight" state="frozen"/>
      <selection pane="topRight" activeCell="B1" sqref="B1"/>
      <selection pane="bottomLeft" activeCell="A4" sqref="A4"/>
      <selection pane="bottomRight" activeCell="E14" sqref="E14"/>
    </sheetView>
  </sheetViews>
  <sheetFormatPr defaultRowHeight="15" x14ac:dyDescent="0.25"/>
  <cols>
    <col min="1" max="2" width="20" customWidth="1"/>
    <col min="3" max="3" width="20" style="6" customWidth="1"/>
    <col min="4" max="5" width="14.28515625" style="14" customWidth="1"/>
    <col min="6" max="6" width="14.28515625" customWidth="1"/>
    <col min="7" max="7" width="14.28515625" style="11" customWidth="1"/>
    <col min="8" max="8" width="14.28515625" style="8" customWidth="1"/>
    <col min="9" max="9" width="31.85546875" customWidth="1"/>
  </cols>
  <sheetData>
    <row r="1" spans="1:13" ht="20.25" x14ac:dyDescent="0.3">
      <c r="A1" s="55" t="s">
        <v>325</v>
      </c>
      <c r="B1" s="55"/>
      <c r="C1" s="7"/>
      <c r="D1" s="232"/>
      <c r="E1" s="232"/>
      <c r="F1" s="2"/>
      <c r="G1" s="12"/>
      <c r="H1" s="13"/>
      <c r="I1" s="2"/>
      <c r="J1" s="2"/>
      <c r="K1" s="2"/>
      <c r="L1" s="2"/>
      <c r="M1" s="2"/>
    </row>
    <row r="3" spans="1:13" ht="30" customHeight="1" x14ac:dyDescent="0.25">
      <c r="A3" s="234" t="s">
        <v>326</v>
      </c>
      <c r="B3" s="54" t="s">
        <v>330</v>
      </c>
      <c r="C3" s="239" t="s">
        <v>14</v>
      </c>
      <c r="D3" s="235" t="s">
        <v>1</v>
      </c>
      <c r="E3" s="235" t="s">
        <v>2</v>
      </c>
      <c r="F3" s="236" t="s">
        <v>13</v>
      </c>
      <c r="G3" s="237" t="s">
        <v>11</v>
      </c>
      <c r="H3" s="238" t="s">
        <v>12</v>
      </c>
      <c r="I3" s="236" t="s">
        <v>16</v>
      </c>
    </row>
    <row r="4" spans="1:13" x14ac:dyDescent="0.25">
      <c r="A4" s="122" t="s">
        <v>327</v>
      </c>
      <c r="B4" s="122">
        <v>2423</v>
      </c>
      <c r="C4" s="136"/>
      <c r="D4" s="233">
        <v>2.99</v>
      </c>
      <c r="E4" s="233">
        <v>4.0999999999999996</v>
      </c>
      <c r="F4" s="125">
        <f>(C4-D4)/E4</f>
        <v>-0.72926829268292692</v>
      </c>
      <c r="G4" s="129">
        <f>F4*15+100</f>
        <v>89.060975609756099</v>
      </c>
      <c r="H4" s="125">
        <f>NORMSDIST(F4)*100</f>
        <v>23.291878182931004</v>
      </c>
      <c r="I4" s="118"/>
    </row>
    <row r="5" spans="1:13" x14ac:dyDescent="0.25">
      <c r="A5" s="122" t="s">
        <v>19</v>
      </c>
      <c r="B5" s="122">
        <v>3659</v>
      </c>
      <c r="C5" s="136">
        <v>13</v>
      </c>
      <c r="D5" s="233">
        <v>2.59</v>
      </c>
      <c r="E5" s="233">
        <v>3.1</v>
      </c>
      <c r="F5" s="125">
        <f t="shared" ref="F5:F8" si="0">(C5-D5)/E5</f>
        <v>3.3580645161290321</v>
      </c>
      <c r="G5" s="129">
        <f t="shared" ref="G5:G8" si="1">F5*15+100</f>
        <v>150.37096774193549</v>
      </c>
      <c r="H5" s="125">
        <f t="shared" ref="H5:H8" si="2">NORMSDIST(F5)*100</f>
        <v>99.960754854439188</v>
      </c>
      <c r="I5" s="118"/>
    </row>
    <row r="6" spans="1:13" x14ac:dyDescent="0.25">
      <c r="A6" s="122" t="s">
        <v>20</v>
      </c>
      <c r="B6" s="122">
        <v>4654</v>
      </c>
      <c r="C6" s="136"/>
      <c r="D6" s="233">
        <v>2.2599999999999998</v>
      </c>
      <c r="E6" s="233">
        <v>3.1</v>
      </c>
      <c r="F6" s="125">
        <f t="shared" si="0"/>
        <v>-0.72903225806451599</v>
      </c>
      <c r="G6" s="129">
        <f t="shared" si="1"/>
        <v>89.064516129032256</v>
      </c>
      <c r="H6" s="125">
        <f t="shared" si="2"/>
        <v>23.299096521368615</v>
      </c>
      <c r="I6" s="118"/>
    </row>
    <row r="7" spans="1:13" x14ac:dyDescent="0.25">
      <c r="A7" s="122" t="s">
        <v>328</v>
      </c>
      <c r="B7" s="122">
        <v>5823</v>
      </c>
      <c r="C7" s="231"/>
      <c r="D7" s="233">
        <v>1.82</v>
      </c>
      <c r="E7" s="233">
        <v>3.1</v>
      </c>
      <c r="F7" s="125">
        <f t="shared" ref="F7" si="3">(C7-D7)/E7</f>
        <v>-0.58709677419354844</v>
      </c>
      <c r="G7" s="129">
        <f t="shared" ref="G7" si="4">F7*15+100</f>
        <v>91.193548387096769</v>
      </c>
      <c r="H7" s="125">
        <f t="shared" ref="H7" si="5">NORMSDIST(F7)*100</f>
        <v>27.85693569704668</v>
      </c>
      <c r="I7" s="118"/>
    </row>
    <row r="8" spans="1:13" x14ac:dyDescent="0.25">
      <c r="A8" s="155" t="s">
        <v>329</v>
      </c>
      <c r="B8" s="155">
        <v>5838</v>
      </c>
      <c r="C8" s="137"/>
      <c r="D8" s="159">
        <v>1.23</v>
      </c>
      <c r="E8" s="159">
        <v>2.1</v>
      </c>
      <c r="F8" s="127">
        <f t="shared" si="0"/>
        <v>-0.58571428571428563</v>
      </c>
      <c r="G8" s="131">
        <f t="shared" si="1"/>
        <v>91.214285714285722</v>
      </c>
      <c r="H8" s="127">
        <f t="shared" si="2"/>
        <v>27.903376618520049</v>
      </c>
      <c r="I8" s="119"/>
    </row>
    <row r="10" spans="1:13" x14ac:dyDescent="0.25">
      <c r="B10" s="3" t="s">
        <v>338</v>
      </c>
    </row>
    <row r="11" spans="1:13" x14ac:dyDescent="0.25">
      <c r="B11" s="3"/>
    </row>
    <row r="12" spans="1:13" x14ac:dyDescent="0.25">
      <c r="B12" s="240" t="s">
        <v>335</v>
      </c>
    </row>
    <row r="14" spans="1:13" x14ac:dyDescent="0.25">
      <c r="B14" s="242" t="s">
        <v>336</v>
      </c>
    </row>
    <row r="16" spans="1:13" x14ac:dyDescent="0.25">
      <c r="B16" s="241" t="s">
        <v>337</v>
      </c>
    </row>
  </sheetData>
  <hyperlinks>
    <hyperlink ref="B12" r:id="rId1" display="Link to paper Adler et al 2019 US Norms" xr:uid="{4DFEFA2A-8BD6-4FA5-8AA7-41F5F4CCB106}"/>
    <hyperlink ref="B16" r:id="rId2" xr:uid="{ED709563-14DF-4A5E-A26E-3D1D18FDFCFB}"/>
    <hyperlink ref="B14" r:id="rId3" xr:uid="{69850A4A-9371-4433-8AE9-9C73C914DF9D}"/>
  </hyperlinks>
  <pageMargins left="0.7" right="0.7" top="0.75" bottom="0.75" header="0.3" footer="0.3"/>
  <pageSetup paperSize="9"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C8D56-5B42-4F77-B6E7-B6A52060F380}">
  <dimension ref="A1:K1002"/>
  <sheetViews>
    <sheetView showGridLines="0" workbookViewId="0"/>
  </sheetViews>
  <sheetFormatPr defaultColWidth="14.42578125" defaultRowHeight="15" customHeight="1" x14ac:dyDescent="0.2"/>
  <cols>
    <col min="1" max="1" width="7.140625" style="149" customWidth="1"/>
    <col min="2" max="2" width="17.42578125" style="149" customWidth="1"/>
    <col min="3" max="3" width="19.5703125" style="149" customWidth="1"/>
    <col min="4" max="6" width="17.42578125" style="149" customWidth="1"/>
    <col min="7" max="26" width="8.7109375" style="149" customWidth="1"/>
    <col min="27" max="16384" width="14.42578125" style="149"/>
  </cols>
  <sheetData>
    <row r="1" spans="1:11" customFormat="1" ht="20.25" x14ac:dyDescent="0.3">
      <c r="A1" s="55" t="s">
        <v>288</v>
      </c>
      <c r="B1" s="2"/>
      <c r="C1" s="2"/>
      <c r="D1" s="2"/>
      <c r="E1" s="2"/>
      <c r="F1" s="2"/>
      <c r="G1" s="2"/>
      <c r="H1" s="2"/>
      <c r="I1" s="2"/>
      <c r="J1" s="2"/>
      <c r="K1" s="2"/>
    </row>
    <row r="2" spans="1:11" customFormat="1" ht="13.5" customHeight="1" x14ac:dyDescent="0.3">
      <c r="A2" s="150"/>
    </row>
    <row r="3" spans="1:11" x14ac:dyDescent="0.25">
      <c r="B3" s="173" t="s">
        <v>289</v>
      </c>
      <c r="C3" s="175" t="s">
        <v>36</v>
      </c>
    </row>
    <row r="4" spans="1:11" ht="15" customHeight="1" x14ac:dyDescent="0.25">
      <c r="B4" s="215" t="s">
        <v>291</v>
      </c>
      <c r="C4" s="215" t="s">
        <v>290</v>
      </c>
    </row>
    <row r="5" spans="1:11" x14ac:dyDescent="0.25">
      <c r="B5" s="216" t="s">
        <v>292</v>
      </c>
      <c r="C5" s="217" t="s">
        <v>293</v>
      </c>
      <c r="D5" s="214"/>
      <c r="E5" s="214"/>
      <c r="F5" s="214"/>
    </row>
    <row r="6" spans="1:11" x14ac:dyDescent="0.25">
      <c r="B6" s="218" t="s">
        <v>294</v>
      </c>
      <c r="C6" s="215" t="s">
        <v>295</v>
      </c>
      <c r="D6" s="171"/>
      <c r="E6" s="170"/>
      <c r="F6" s="170"/>
    </row>
    <row r="7" spans="1:11" ht="15" customHeight="1" x14ac:dyDescent="0.25">
      <c r="B7" s="219" t="s">
        <v>296</v>
      </c>
      <c r="C7" s="215" t="s">
        <v>297</v>
      </c>
    </row>
    <row r="8" spans="1:11" ht="15" customHeight="1" x14ac:dyDescent="0.25">
      <c r="B8" s="219" t="s">
        <v>298</v>
      </c>
      <c r="C8" s="215" t="s">
        <v>299</v>
      </c>
    </row>
    <row r="9" spans="1:11" ht="15" customHeight="1" x14ac:dyDescent="0.25">
      <c r="B9" s="219" t="s">
        <v>300</v>
      </c>
      <c r="C9" s="215" t="s">
        <v>301</v>
      </c>
    </row>
    <row r="10" spans="1:11" x14ac:dyDescent="0.25">
      <c r="B10" s="151"/>
    </row>
    <row r="12" spans="1:11" ht="15" customHeight="1" x14ac:dyDescent="0.25">
      <c r="B12" s="151"/>
    </row>
    <row r="14" spans="1:11" ht="15" customHeight="1" x14ac:dyDescent="0.2">
      <c r="B14" s="15"/>
    </row>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pageMargins left="0.7" right="0.7" top="0.75" bottom="0.75" header="0" footer="0"/>
  <pageSetup paperSize="9" orientation="portrait" r:id="rId1"/>
  <ignoredErrors>
    <ignoredError sqref="B6" twoDigitTextYear="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Overview &amp; Contents</vt:lpstr>
      <vt:lpstr>Bell Curves</vt:lpstr>
      <vt:lpstr>Demographics</vt:lpstr>
      <vt:lpstr>Psychometric Converter</vt:lpstr>
      <vt:lpstr>Visual Psychometric Converter</vt:lpstr>
      <vt:lpstr>TBI Severity &amp; GCS</vt:lpstr>
      <vt:lpstr>AQ50</vt:lpstr>
      <vt:lpstr>ASRS</vt:lpstr>
      <vt:lpstr>CORE-10</vt:lpstr>
      <vt:lpstr>HADS</vt:lpstr>
      <vt:lpstr>Hayling</vt:lpstr>
      <vt:lpstr>RBANS-A</vt:lpstr>
      <vt:lpstr>RBANS-A Effort Scale</vt:lpstr>
      <vt:lpstr>RBANS-A Effort Index WIP</vt:lpstr>
      <vt:lpstr>RME Adult</vt:lpstr>
      <vt:lpstr>WMS-IV</vt:lpstr>
      <vt:lpstr>TOPF</vt: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Tom (RBK) Walsall Healthcare NHS Trust</dc:creator>
  <cp:lastModifiedBy>Michael Tom (RBK) Walsall Healthcare NHS Trust</cp:lastModifiedBy>
  <cp:lastPrinted>2021-12-24T08:59:55Z</cp:lastPrinted>
  <dcterms:created xsi:type="dcterms:W3CDTF">2021-12-07T10:37:23Z</dcterms:created>
  <dcterms:modified xsi:type="dcterms:W3CDTF">2023-08-17T10:46:21Z</dcterms:modified>
</cp:coreProperties>
</file>