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60" activeTab="3"/>
  </bookViews>
  <sheets>
    <sheet name="Monthly Breakdown" sheetId="1" r:id="rId1"/>
    <sheet name="Savings" sheetId="15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O8" i="1"/>
  <c r="O9" i="1"/>
  <c r="O12" i="1"/>
  <c r="O13" i="1"/>
  <c r="O14" i="1"/>
  <c r="O15" i="1"/>
  <c r="O18" i="1"/>
  <c r="O19" i="1"/>
  <c r="O20" i="1"/>
  <c r="O22" i="1"/>
  <c r="O24" i="1"/>
  <c r="O27" i="1"/>
  <c r="O30" i="1"/>
  <c r="O31" i="1"/>
  <c r="O32" i="1"/>
  <c r="O34" i="1"/>
  <c r="O37" i="1"/>
  <c r="O38" i="1"/>
  <c r="O39" i="1"/>
  <c r="O40" i="1"/>
  <c r="O41" i="1"/>
  <c r="O42" i="1"/>
  <c r="O43" i="1"/>
  <c r="D44" i="1"/>
  <c r="O44" i="1"/>
  <c r="D45" i="1"/>
  <c r="O45" i="1"/>
  <c r="O48" i="1"/>
  <c r="O49" i="1"/>
  <c r="O50" i="1"/>
  <c r="O51" i="1"/>
  <c r="O52" i="1"/>
  <c r="O53" i="1"/>
  <c r="O54" i="1"/>
  <c r="O55" i="1"/>
  <c r="O56" i="1"/>
  <c r="D58" i="1"/>
  <c r="O58" i="1"/>
  <c r="D60" i="1"/>
  <c r="E60" i="1"/>
  <c r="F60" i="1"/>
  <c r="G60" i="1"/>
  <c r="H60" i="1"/>
  <c r="I60" i="1"/>
  <c r="J60" i="1"/>
  <c r="K60" i="1"/>
  <c r="L60" i="1"/>
  <c r="M60" i="1"/>
  <c r="O60" i="1"/>
  <c r="O7" i="1"/>
  <c r="B1" i="15"/>
  <c r="G4" i="3"/>
  <c r="J36" i="4"/>
  <c r="V22" i="4"/>
  <c r="Z21" i="4"/>
  <c r="Z20" i="4"/>
  <c r="Z19" i="4"/>
  <c r="AH16" i="4"/>
  <c r="AH12" i="4"/>
  <c r="AH14" i="4"/>
  <c r="AD10" i="4"/>
  <c r="V20" i="4"/>
  <c r="V19" i="4"/>
  <c r="J17" i="4"/>
  <c r="Z17" i="4"/>
  <c r="Z16" i="4"/>
  <c r="AH13" i="4"/>
  <c r="G24" i="4"/>
  <c r="V13" i="4"/>
  <c r="G4" i="4"/>
  <c r="N11" i="4"/>
  <c r="G13" i="4"/>
  <c r="AH10" i="4"/>
  <c r="V11" i="4"/>
  <c r="D22" i="14"/>
  <c r="C22" i="14"/>
  <c r="D21" i="14"/>
  <c r="C21" i="14"/>
  <c r="C8" i="14"/>
  <c r="C12" i="14"/>
  <c r="C13" i="14"/>
  <c r="C14" i="14"/>
  <c r="C15" i="14"/>
  <c r="D8" i="14"/>
  <c r="D12" i="14"/>
  <c r="D13" i="14"/>
  <c r="D14" i="14"/>
  <c r="D15" i="14"/>
  <c r="D17" i="14"/>
  <c r="D9" i="14"/>
  <c r="D18" i="14"/>
  <c r="D16" i="14"/>
  <c r="C16" i="14"/>
  <c r="D22" i="13"/>
  <c r="C22" i="13"/>
  <c r="D21" i="13"/>
  <c r="C21" i="13"/>
  <c r="C8" i="13"/>
  <c r="C12" i="13"/>
  <c r="C13" i="13"/>
  <c r="C14" i="13"/>
  <c r="C15" i="13"/>
  <c r="D8" i="13"/>
  <c r="D12" i="13"/>
  <c r="D13" i="13"/>
  <c r="D14" i="13"/>
  <c r="D15" i="13"/>
  <c r="D17" i="13"/>
  <c r="D9" i="13"/>
  <c r="D18" i="13"/>
  <c r="D16" i="13"/>
  <c r="C16" i="13"/>
  <c r="D22" i="12"/>
  <c r="C22" i="12"/>
  <c r="D21" i="12"/>
  <c r="C21" i="12"/>
  <c r="C8" i="12"/>
  <c r="C12" i="12"/>
  <c r="C13" i="12"/>
  <c r="C14" i="12"/>
  <c r="C15" i="12"/>
  <c r="D8" i="12"/>
  <c r="D12" i="12"/>
  <c r="D13" i="12"/>
  <c r="D14" i="12"/>
  <c r="D15" i="12"/>
  <c r="D17" i="12"/>
  <c r="D9" i="12"/>
  <c r="D18" i="12"/>
  <c r="D16" i="12"/>
  <c r="C16" i="12"/>
  <c r="D22" i="11"/>
  <c r="C22" i="11"/>
  <c r="D21" i="11"/>
  <c r="C21" i="11"/>
  <c r="C8" i="11"/>
  <c r="C12" i="11"/>
  <c r="C13" i="11"/>
  <c r="C14" i="11"/>
  <c r="C15" i="11"/>
  <c r="D8" i="11"/>
  <c r="D12" i="11"/>
  <c r="D13" i="11"/>
  <c r="D14" i="11"/>
  <c r="D15" i="11"/>
  <c r="D17" i="11"/>
  <c r="D9" i="11"/>
  <c r="D18" i="11"/>
  <c r="D16" i="11"/>
  <c r="C16" i="11"/>
  <c r="D22" i="10"/>
  <c r="C22" i="10"/>
  <c r="D21" i="10"/>
  <c r="C21" i="10"/>
  <c r="C8" i="10"/>
  <c r="C12" i="10"/>
  <c r="C13" i="10"/>
  <c r="C14" i="10"/>
  <c r="C15" i="10"/>
  <c r="D8" i="10"/>
  <c r="D12" i="10"/>
  <c r="D13" i="10"/>
  <c r="D14" i="10"/>
  <c r="D15" i="10"/>
  <c r="D17" i="10"/>
  <c r="D9" i="10"/>
  <c r="D18" i="10"/>
  <c r="D16" i="10"/>
  <c r="C16" i="10"/>
  <c r="D22" i="9"/>
  <c r="C22" i="9"/>
  <c r="D21" i="9"/>
  <c r="C21" i="9"/>
  <c r="C8" i="9"/>
  <c r="C12" i="9"/>
  <c r="C13" i="9"/>
  <c r="C14" i="9"/>
  <c r="C15" i="9"/>
  <c r="D8" i="9"/>
  <c r="D12" i="9"/>
  <c r="D13" i="9"/>
  <c r="D14" i="9"/>
  <c r="D15" i="9"/>
  <c r="D17" i="9"/>
  <c r="D9" i="9"/>
  <c r="D18" i="9"/>
  <c r="D16" i="9"/>
  <c r="C16" i="9"/>
  <c r="D22" i="8"/>
  <c r="C22" i="8"/>
  <c r="D21" i="8"/>
  <c r="C21" i="8"/>
  <c r="C8" i="8"/>
  <c r="C12" i="8"/>
  <c r="C13" i="8"/>
  <c r="C14" i="8"/>
  <c r="C15" i="8"/>
  <c r="D8" i="8"/>
  <c r="D12" i="8"/>
  <c r="D13" i="8"/>
  <c r="D14" i="8"/>
  <c r="D15" i="8"/>
  <c r="D17" i="8"/>
  <c r="D9" i="8"/>
  <c r="D18" i="8"/>
  <c r="D16" i="8"/>
  <c r="C16" i="8"/>
  <c r="D22" i="7"/>
  <c r="C22" i="7"/>
  <c r="D21" i="7"/>
  <c r="C21" i="7"/>
  <c r="C8" i="7"/>
  <c r="C12" i="7"/>
  <c r="C13" i="7"/>
  <c r="C14" i="7"/>
  <c r="C15" i="7"/>
  <c r="D8" i="7"/>
  <c r="D12" i="7"/>
  <c r="D13" i="7"/>
  <c r="D14" i="7"/>
  <c r="D15" i="7"/>
  <c r="D17" i="7"/>
  <c r="D9" i="7"/>
  <c r="D18" i="7"/>
  <c r="D16" i="7"/>
  <c r="C16" i="7"/>
  <c r="D22" i="6"/>
  <c r="C22" i="6"/>
  <c r="D21" i="6"/>
  <c r="C21" i="6"/>
  <c r="C8" i="6"/>
  <c r="C12" i="6"/>
  <c r="C13" i="6"/>
  <c r="C14" i="6"/>
  <c r="C15" i="6"/>
  <c r="D8" i="6"/>
  <c r="D12" i="6"/>
  <c r="D13" i="6"/>
  <c r="D14" i="6"/>
  <c r="D15" i="6"/>
  <c r="D17" i="6"/>
  <c r="D9" i="6"/>
  <c r="D18" i="6"/>
  <c r="D16" i="6"/>
  <c r="C16" i="6"/>
  <c r="D21" i="5"/>
  <c r="C21" i="5"/>
  <c r="D8" i="5"/>
  <c r="D12" i="5"/>
  <c r="D13" i="5"/>
  <c r="D14" i="5"/>
  <c r="C8" i="5"/>
  <c r="C14" i="5"/>
  <c r="C13" i="5"/>
  <c r="D21" i="4"/>
  <c r="D22" i="4"/>
  <c r="C21" i="4"/>
  <c r="D8" i="4"/>
  <c r="G22" i="4"/>
  <c r="N10" i="4"/>
  <c r="R10" i="4"/>
  <c r="V10" i="4"/>
  <c r="Z11" i="4"/>
  <c r="G11" i="4"/>
  <c r="G12" i="4"/>
  <c r="G15" i="4"/>
  <c r="AH21" i="3"/>
  <c r="R12" i="3"/>
  <c r="R8" i="3"/>
  <c r="J12" i="3"/>
  <c r="AH11" i="3"/>
  <c r="AH12" i="3"/>
  <c r="AH13" i="3"/>
  <c r="AH18" i="3"/>
  <c r="AH19" i="3"/>
  <c r="AH8" i="3"/>
  <c r="J16" i="3"/>
  <c r="N13" i="3"/>
  <c r="N8" i="3"/>
  <c r="J11" i="3"/>
  <c r="V25" i="3"/>
  <c r="V26" i="3"/>
  <c r="V29" i="3"/>
  <c r="V30" i="3"/>
  <c r="V31" i="3"/>
  <c r="V32" i="3"/>
  <c r="V8" i="3"/>
  <c r="J13" i="3"/>
  <c r="Z14" i="3"/>
  <c r="Z15" i="3"/>
  <c r="Z8" i="3"/>
  <c r="J14" i="3"/>
  <c r="AD10" i="3"/>
  <c r="AD11" i="3"/>
  <c r="AD8" i="3"/>
  <c r="J15" i="3"/>
  <c r="J17" i="3"/>
  <c r="J35" i="3"/>
  <c r="J37" i="3"/>
  <c r="J33" i="3"/>
  <c r="J18" i="3"/>
  <c r="J19" i="3"/>
  <c r="G11" i="3"/>
  <c r="G12" i="3"/>
  <c r="G13" i="3"/>
  <c r="G15" i="3"/>
  <c r="G25" i="3"/>
  <c r="G26" i="3"/>
  <c r="J21" i="3"/>
  <c r="G2" i="3"/>
  <c r="C8" i="3"/>
  <c r="C15" i="3"/>
  <c r="C21" i="3"/>
  <c r="C22" i="3"/>
  <c r="C23" i="3"/>
  <c r="C28" i="3"/>
  <c r="D8" i="3"/>
  <c r="D15" i="3"/>
  <c r="D21" i="3"/>
  <c r="D22" i="3"/>
  <c r="D23" i="3"/>
  <c r="D28" i="3"/>
  <c r="D29" i="3"/>
  <c r="G3" i="3"/>
  <c r="G5" i="3"/>
  <c r="J28" i="3"/>
  <c r="J30" i="3"/>
  <c r="S56" i="1"/>
  <c r="R56" i="1"/>
  <c r="J33" i="14"/>
  <c r="G25" i="14"/>
  <c r="D23" i="14"/>
  <c r="D24" i="14"/>
  <c r="C23" i="14"/>
  <c r="J18" i="14"/>
  <c r="AH8" i="14"/>
  <c r="J16" i="14"/>
  <c r="G15" i="14"/>
  <c r="G26" i="14"/>
  <c r="V8" i="14"/>
  <c r="J13" i="14"/>
  <c r="N8" i="14"/>
  <c r="J11" i="14"/>
  <c r="AD8" i="14"/>
  <c r="J15" i="14"/>
  <c r="Z8" i="14"/>
  <c r="Z4" i="14"/>
  <c r="R8" i="14"/>
  <c r="J12" i="14"/>
  <c r="AH4" i="14"/>
  <c r="AD4" i="14"/>
  <c r="V4" i="14"/>
  <c r="R4" i="14"/>
  <c r="N4" i="14"/>
  <c r="J4" i="14"/>
  <c r="C3" i="14"/>
  <c r="J33" i="13"/>
  <c r="G25" i="13"/>
  <c r="C23" i="13"/>
  <c r="C24" i="13"/>
  <c r="D23" i="13"/>
  <c r="D24" i="13"/>
  <c r="J18" i="13"/>
  <c r="G15" i="13"/>
  <c r="G26" i="13"/>
  <c r="V8" i="13"/>
  <c r="J13" i="13"/>
  <c r="N8" i="13"/>
  <c r="J11" i="13"/>
  <c r="AH8" i="13"/>
  <c r="AH4" i="13"/>
  <c r="AD8" i="13"/>
  <c r="J15" i="13"/>
  <c r="Z8" i="13"/>
  <c r="J14" i="13"/>
  <c r="R8" i="13"/>
  <c r="R4" i="13"/>
  <c r="N4" i="13"/>
  <c r="V4" i="13"/>
  <c r="Z4" i="13"/>
  <c r="AD4" i="13"/>
  <c r="J4" i="13"/>
  <c r="C3" i="13"/>
  <c r="J33" i="12"/>
  <c r="G25" i="12"/>
  <c r="D23" i="12"/>
  <c r="D24" i="12"/>
  <c r="C23" i="12"/>
  <c r="J18" i="12"/>
  <c r="AH8" i="12"/>
  <c r="J16" i="12"/>
  <c r="G15" i="12"/>
  <c r="G26" i="12"/>
  <c r="V8" i="12"/>
  <c r="J13" i="12"/>
  <c r="N8" i="12"/>
  <c r="J11" i="12"/>
  <c r="AD8" i="12"/>
  <c r="J15" i="12"/>
  <c r="Z8" i="12"/>
  <c r="Z4" i="12"/>
  <c r="R8" i="12"/>
  <c r="J12" i="12"/>
  <c r="AH4" i="12"/>
  <c r="AD4" i="12"/>
  <c r="V4" i="12"/>
  <c r="R4" i="12"/>
  <c r="N4" i="12"/>
  <c r="J4" i="12"/>
  <c r="C3" i="12"/>
  <c r="J33" i="11"/>
  <c r="G25" i="11"/>
  <c r="C23" i="11"/>
  <c r="C24" i="11"/>
  <c r="D23" i="11"/>
  <c r="D24" i="11"/>
  <c r="J18" i="11"/>
  <c r="G15" i="11"/>
  <c r="G26" i="11"/>
  <c r="V8" i="11"/>
  <c r="J13" i="11"/>
  <c r="N8" i="11"/>
  <c r="J11" i="11"/>
  <c r="AH8" i="11"/>
  <c r="AH4" i="11"/>
  <c r="AD8" i="11"/>
  <c r="J15" i="11"/>
  <c r="Z8" i="11"/>
  <c r="J14" i="11"/>
  <c r="R8" i="11"/>
  <c r="R4" i="11"/>
  <c r="N4" i="11"/>
  <c r="V4" i="11"/>
  <c r="Z4" i="11"/>
  <c r="AD4" i="11"/>
  <c r="J4" i="11"/>
  <c r="C3" i="11"/>
  <c r="J33" i="10"/>
  <c r="G25" i="10"/>
  <c r="D23" i="10"/>
  <c r="D24" i="10"/>
  <c r="C23" i="10"/>
  <c r="J18" i="10"/>
  <c r="AH8" i="10"/>
  <c r="J16" i="10"/>
  <c r="G15" i="10"/>
  <c r="G26" i="10"/>
  <c r="V8" i="10"/>
  <c r="J13" i="10"/>
  <c r="N8" i="10"/>
  <c r="J11" i="10"/>
  <c r="AD8" i="10"/>
  <c r="J15" i="10"/>
  <c r="Z8" i="10"/>
  <c r="Z4" i="10"/>
  <c r="R8" i="10"/>
  <c r="J12" i="10"/>
  <c r="AH4" i="10"/>
  <c r="AD4" i="10"/>
  <c r="V4" i="10"/>
  <c r="R4" i="10"/>
  <c r="N4" i="10"/>
  <c r="J4" i="10"/>
  <c r="C3" i="10"/>
  <c r="J33" i="9"/>
  <c r="G25" i="9"/>
  <c r="C23" i="9"/>
  <c r="C24" i="9"/>
  <c r="D23" i="9"/>
  <c r="D24" i="9"/>
  <c r="J18" i="9"/>
  <c r="G15" i="9"/>
  <c r="G26" i="9"/>
  <c r="V8" i="9"/>
  <c r="J13" i="9"/>
  <c r="N8" i="9"/>
  <c r="J11" i="9"/>
  <c r="AH8" i="9"/>
  <c r="AH4" i="9"/>
  <c r="AD8" i="9"/>
  <c r="J15" i="9"/>
  <c r="Z8" i="9"/>
  <c r="J14" i="9"/>
  <c r="R8" i="9"/>
  <c r="R4" i="9"/>
  <c r="N4" i="9"/>
  <c r="V4" i="9"/>
  <c r="Z4" i="9"/>
  <c r="AD4" i="9"/>
  <c r="J4" i="9"/>
  <c r="C3" i="9"/>
  <c r="J33" i="8"/>
  <c r="G25" i="8"/>
  <c r="C23" i="8"/>
  <c r="C24" i="8"/>
  <c r="D23" i="8"/>
  <c r="D24" i="8"/>
  <c r="J18" i="8"/>
  <c r="G15" i="8"/>
  <c r="G26" i="8"/>
  <c r="V8" i="8"/>
  <c r="J13" i="8"/>
  <c r="N8" i="8"/>
  <c r="J11" i="8"/>
  <c r="AH8" i="8"/>
  <c r="AH4" i="8"/>
  <c r="AD8" i="8"/>
  <c r="J15" i="8"/>
  <c r="Z8" i="8"/>
  <c r="J14" i="8"/>
  <c r="R8" i="8"/>
  <c r="R4" i="8"/>
  <c r="N4" i="8"/>
  <c r="V4" i="8"/>
  <c r="Z4" i="8"/>
  <c r="AD4" i="8"/>
  <c r="J4" i="8"/>
  <c r="C3" i="8"/>
  <c r="J33" i="7"/>
  <c r="G25" i="7"/>
  <c r="C23" i="7"/>
  <c r="C24" i="7"/>
  <c r="D23" i="7"/>
  <c r="D24" i="7"/>
  <c r="J18" i="7"/>
  <c r="G15" i="7"/>
  <c r="G26" i="7"/>
  <c r="V8" i="7"/>
  <c r="J13" i="7"/>
  <c r="N8" i="7"/>
  <c r="J11" i="7"/>
  <c r="AH8" i="7"/>
  <c r="AH4" i="7"/>
  <c r="AD8" i="7"/>
  <c r="J15" i="7"/>
  <c r="Z8" i="7"/>
  <c r="J14" i="7"/>
  <c r="R8" i="7"/>
  <c r="R4" i="7"/>
  <c r="N4" i="7"/>
  <c r="V4" i="7"/>
  <c r="Z4" i="7"/>
  <c r="AD4" i="7"/>
  <c r="J4" i="7"/>
  <c r="C3" i="7"/>
  <c r="J33" i="6"/>
  <c r="G25" i="6"/>
  <c r="C23" i="6"/>
  <c r="D23" i="6"/>
  <c r="D24" i="6"/>
  <c r="J18" i="6"/>
  <c r="G15" i="6"/>
  <c r="G26" i="6"/>
  <c r="V8" i="6"/>
  <c r="J13" i="6"/>
  <c r="AH8" i="6"/>
  <c r="AH4" i="6"/>
  <c r="AD8" i="6"/>
  <c r="J15" i="6"/>
  <c r="Z8" i="6"/>
  <c r="J14" i="6"/>
  <c r="R8" i="6"/>
  <c r="R4" i="6"/>
  <c r="N8" i="6"/>
  <c r="N4" i="6"/>
  <c r="V4" i="6"/>
  <c r="Z4" i="6"/>
  <c r="AD4" i="6"/>
  <c r="J4" i="6"/>
  <c r="J11" i="6"/>
  <c r="C3" i="6"/>
  <c r="J33" i="5"/>
  <c r="G25" i="5"/>
  <c r="D22" i="5"/>
  <c r="C22" i="5"/>
  <c r="D23" i="5"/>
  <c r="D24" i="5"/>
  <c r="C23" i="5"/>
  <c r="J18" i="5"/>
  <c r="AH8" i="5"/>
  <c r="J16" i="5"/>
  <c r="G15" i="5"/>
  <c r="G26" i="5"/>
  <c r="V8" i="5"/>
  <c r="J13" i="5"/>
  <c r="C12" i="5"/>
  <c r="C15" i="5"/>
  <c r="N8" i="5"/>
  <c r="J11" i="5"/>
  <c r="AD8" i="5"/>
  <c r="J15" i="5"/>
  <c r="Z8" i="5"/>
  <c r="Z4" i="5"/>
  <c r="R8" i="5"/>
  <c r="J12" i="5"/>
  <c r="D9" i="5"/>
  <c r="AH4" i="5"/>
  <c r="AD4" i="5"/>
  <c r="V4" i="5"/>
  <c r="R4" i="5"/>
  <c r="N4" i="5"/>
  <c r="J4" i="5"/>
  <c r="C3" i="5"/>
  <c r="C8" i="4"/>
  <c r="D9" i="4"/>
  <c r="C15" i="4"/>
  <c r="D15" i="4"/>
  <c r="D17" i="4"/>
  <c r="D9" i="3"/>
  <c r="J33" i="4"/>
  <c r="G25" i="4"/>
  <c r="C22" i="4"/>
  <c r="C23" i="4"/>
  <c r="C24" i="4"/>
  <c r="D23" i="4"/>
  <c r="D24" i="4"/>
  <c r="J18" i="4"/>
  <c r="G26" i="4"/>
  <c r="D16" i="4"/>
  <c r="V8" i="4"/>
  <c r="J13" i="4"/>
  <c r="R8" i="4"/>
  <c r="J12" i="4"/>
  <c r="N8" i="4"/>
  <c r="J11" i="4"/>
  <c r="Z8" i="4"/>
  <c r="J14" i="4"/>
  <c r="AD8" i="4"/>
  <c r="J15" i="4"/>
  <c r="AH8" i="4"/>
  <c r="J16" i="4"/>
  <c r="J19" i="4"/>
  <c r="AH4" i="4"/>
  <c r="AD4" i="4"/>
  <c r="V4" i="4"/>
  <c r="R4" i="4"/>
  <c r="N4" i="4"/>
  <c r="C3" i="4"/>
  <c r="C24" i="3"/>
  <c r="Z4" i="3"/>
  <c r="AD4" i="3"/>
  <c r="C3" i="3"/>
  <c r="C28" i="14"/>
  <c r="D25" i="14"/>
  <c r="D26" i="14"/>
  <c r="C24" i="14"/>
  <c r="J14" i="14"/>
  <c r="J19" i="14"/>
  <c r="J21" i="14"/>
  <c r="C28" i="13"/>
  <c r="D25" i="13"/>
  <c r="D26" i="13"/>
  <c r="J12" i="13"/>
  <c r="J16" i="13"/>
  <c r="J19" i="13"/>
  <c r="J21" i="13"/>
  <c r="C28" i="12"/>
  <c r="D25" i="12"/>
  <c r="D26" i="12"/>
  <c r="C24" i="12"/>
  <c r="J14" i="12"/>
  <c r="J19" i="12"/>
  <c r="J21" i="12"/>
  <c r="C28" i="11"/>
  <c r="D25" i="11"/>
  <c r="D26" i="11"/>
  <c r="J12" i="11"/>
  <c r="J16" i="11"/>
  <c r="J19" i="11"/>
  <c r="J21" i="11"/>
  <c r="C28" i="10"/>
  <c r="D25" i="10"/>
  <c r="D26" i="10"/>
  <c r="C24" i="10"/>
  <c r="J14" i="10"/>
  <c r="J19" i="10"/>
  <c r="J21" i="10"/>
  <c r="C28" i="9"/>
  <c r="D25" i="9"/>
  <c r="D26" i="9"/>
  <c r="J12" i="9"/>
  <c r="J16" i="9"/>
  <c r="J19" i="9"/>
  <c r="J21" i="9"/>
  <c r="C28" i="8"/>
  <c r="D25" i="8"/>
  <c r="D26" i="8"/>
  <c r="J12" i="8"/>
  <c r="J16" i="8"/>
  <c r="J19" i="8"/>
  <c r="J21" i="8"/>
  <c r="C28" i="7"/>
  <c r="D25" i="7"/>
  <c r="D26" i="7"/>
  <c r="J12" i="7"/>
  <c r="J16" i="7"/>
  <c r="J19" i="7"/>
  <c r="J21" i="7"/>
  <c r="J12" i="6"/>
  <c r="J16" i="6"/>
  <c r="J19" i="6"/>
  <c r="J21" i="6"/>
  <c r="D25" i="6"/>
  <c r="D26" i="6"/>
  <c r="C28" i="6"/>
  <c r="C24" i="6"/>
  <c r="C28" i="5"/>
  <c r="C16" i="5"/>
  <c r="D15" i="5"/>
  <c r="D17" i="5"/>
  <c r="D18" i="5"/>
  <c r="D25" i="5"/>
  <c r="D26" i="5"/>
  <c r="C24" i="5"/>
  <c r="J14" i="5"/>
  <c r="J19" i="5"/>
  <c r="J21" i="5"/>
  <c r="D16" i="5"/>
  <c r="D28" i="4"/>
  <c r="J21" i="4"/>
  <c r="D18" i="4"/>
  <c r="C16" i="4"/>
  <c r="D25" i="4"/>
  <c r="D26" i="4"/>
  <c r="C28" i="4"/>
  <c r="Z4" i="4"/>
  <c r="J4" i="4"/>
  <c r="D17" i="3"/>
  <c r="D18" i="3"/>
  <c r="D24" i="3"/>
  <c r="C16" i="3"/>
  <c r="N4" i="3"/>
  <c r="V4" i="3"/>
  <c r="R4" i="3"/>
  <c r="AH4" i="3"/>
  <c r="D25" i="3"/>
  <c r="D26" i="3"/>
  <c r="D16" i="3"/>
  <c r="D28" i="14"/>
  <c r="D29" i="14"/>
  <c r="G3" i="14"/>
  <c r="D28" i="13"/>
  <c r="D29" i="13"/>
  <c r="G3" i="13"/>
  <c r="D28" i="12"/>
  <c r="D29" i="12"/>
  <c r="G3" i="12"/>
  <c r="D28" i="11"/>
  <c r="D29" i="11"/>
  <c r="G3" i="11"/>
  <c r="D28" i="10"/>
  <c r="D29" i="10"/>
  <c r="G3" i="10"/>
  <c r="D28" i="9"/>
  <c r="D29" i="9"/>
  <c r="G3" i="9"/>
  <c r="D28" i="8"/>
  <c r="D29" i="8"/>
  <c r="G3" i="8"/>
  <c r="D28" i="7"/>
  <c r="D29" i="7"/>
  <c r="G3" i="7"/>
  <c r="D28" i="6"/>
  <c r="D29" i="6"/>
  <c r="G3" i="6"/>
  <c r="D28" i="5"/>
  <c r="D29" i="5"/>
  <c r="G3" i="5"/>
  <c r="D29" i="4"/>
  <c r="G3" i="4"/>
  <c r="J4" i="3"/>
  <c r="B33" i="1"/>
  <c r="C33" i="1"/>
  <c r="D33" i="1"/>
  <c r="E33" i="1"/>
  <c r="F33" i="1"/>
  <c r="G33" i="1"/>
  <c r="G5" i="15"/>
  <c r="G4" i="15"/>
  <c r="G2" i="15"/>
  <c r="B22" i="1"/>
  <c r="M31" i="1"/>
  <c r="M32" i="1"/>
  <c r="M33" i="1"/>
  <c r="L31" i="1"/>
  <c r="L32" i="1"/>
  <c r="L33" i="1"/>
  <c r="K31" i="1"/>
  <c r="K32" i="1"/>
  <c r="K33" i="1"/>
  <c r="J31" i="1"/>
  <c r="J32" i="1"/>
  <c r="J33" i="1"/>
  <c r="I31" i="1"/>
  <c r="I32" i="1"/>
  <c r="I33" i="1"/>
  <c r="H31" i="1"/>
  <c r="H32" i="1"/>
  <c r="H33" i="1"/>
  <c r="G31" i="1"/>
  <c r="G32" i="1"/>
  <c r="F31" i="1"/>
  <c r="F32" i="1"/>
  <c r="E31" i="1"/>
  <c r="E32" i="1"/>
  <c r="D31" i="1"/>
  <c r="D32" i="1"/>
  <c r="C31" i="1"/>
  <c r="C32" i="1"/>
  <c r="M54" i="1"/>
  <c r="M55" i="1"/>
  <c r="L54" i="1"/>
  <c r="L55" i="1"/>
  <c r="K54" i="1"/>
  <c r="K55" i="1"/>
  <c r="J54" i="1"/>
  <c r="J55" i="1"/>
  <c r="I54" i="1"/>
  <c r="I55" i="1"/>
  <c r="H54" i="1"/>
  <c r="H55" i="1"/>
  <c r="G54" i="1"/>
  <c r="G55" i="1"/>
  <c r="F54" i="1"/>
  <c r="F55" i="1"/>
  <c r="E54" i="1"/>
  <c r="E55" i="1"/>
  <c r="D54" i="1"/>
  <c r="D55" i="1"/>
  <c r="C54" i="1"/>
  <c r="C55" i="1"/>
  <c r="B54" i="1"/>
  <c r="B55" i="1"/>
  <c r="M43" i="1"/>
  <c r="L43" i="1"/>
  <c r="K43" i="1"/>
  <c r="J43" i="1"/>
  <c r="I43" i="1"/>
  <c r="H43" i="1"/>
  <c r="G43" i="1"/>
  <c r="F43" i="1"/>
  <c r="E43" i="1"/>
  <c r="D43" i="1"/>
  <c r="C43" i="1"/>
  <c r="B43" i="1"/>
  <c r="M37" i="1"/>
  <c r="L37" i="1"/>
  <c r="K37" i="1"/>
  <c r="J37" i="1"/>
  <c r="I37" i="1"/>
  <c r="H37" i="1"/>
  <c r="G37" i="1"/>
  <c r="F37" i="1"/>
  <c r="E37" i="1"/>
  <c r="C37" i="1"/>
  <c r="B37" i="1"/>
  <c r="N37" i="1"/>
  <c r="N43" i="1"/>
  <c r="N55" i="1"/>
  <c r="N54" i="1"/>
  <c r="M50" i="1"/>
  <c r="M49" i="1"/>
  <c r="M48" i="1"/>
  <c r="M24" i="1"/>
  <c r="L24" i="1"/>
  <c r="K24" i="1"/>
  <c r="J24" i="1"/>
  <c r="I24" i="1"/>
  <c r="H24" i="1"/>
  <c r="G24" i="1"/>
  <c r="F24" i="1"/>
  <c r="E24" i="1"/>
  <c r="D24" i="1"/>
  <c r="C24" i="1"/>
  <c r="B24" i="1"/>
  <c r="M52" i="1"/>
  <c r="L49" i="1"/>
  <c r="L50" i="1"/>
  <c r="L51" i="1"/>
  <c r="L52" i="1"/>
  <c r="L53" i="1"/>
  <c r="K49" i="1"/>
  <c r="K50" i="1"/>
  <c r="K51" i="1"/>
  <c r="K52" i="1"/>
  <c r="K53" i="1"/>
  <c r="J49" i="1"/>
  <c r="J50" i="1"/>
  <c r="J51" i="1"/>
  <c r="J52" i="1"/>
  <c r="J53" i="1"/>
  <c r="I49" i="1"/>
  <c r="I50" i="1"/>
  <c r="I51" i="1"/>
  <c r="I52" i="1"/>
  <c r="I53" i="1"/>
  <c r="H49" i="1"/>
  <c r="H50" i="1"/>
  <c r="H51" i="1"/>
  <c r="H52" i="1"/>
  <c r="H53" i="1"/>
  <c r="G49" i="1"/>
  <c r="G50" i="1"/>
  <c r="G51" i="1"/>
  <c r="G52" i="1"/>
  <c r="G53" i="1"/>
  <c r="F49" i="1"/>
  <c r="F50" i="1"/>
  <c r="F51" i="1"/>
  <c r="F52" i="1"/>
  <c r="F53" i="1"/>
  <c r="C49" i="1"/>
  <c r="C52" i="1"/>
  <c r="L48" i="1"/>
  <c r="K48" i="1"/>
  <c r="J48" i="1"/>
  <c r="I48" i="1"/>
  <c r="H48" i="1"/>
  <c r="G48" i="1"/>
  <c r="F48" i="1"/>
  <c r="C48" i="1"/>
  <c r="B48" i="1"/>
  <c r="B49" i="1"/>
  <c r="B50" i="1"/>
  <c r="B51" i="1"/>
  <c r="B52" i="1"/>
  <c r="B53" i="1"/>
  <c r="M39" i="1"/>
  <c r="M40" i="1"/>
  <c r="M41" i="1"/>
  <c r="M42" i="1"/>
  <c r="L39" i="1"/>
  <c r="L40" i="1"/>
  <c r="L41" i="1"/>
  <c r="L42" i="1"/>
  <c r="K39" i="1"/>
  <c r="K40" i="1"/>
  <c r="K41" i="1"/>
  <c r="K42" i="1"/>
  <c r="J39" i="1"/>
  <c r="J40" i="1"/>
  <c r="J41" i="1"/>
  <c r="J42" i="1"/>
  <c r="I39" i="1"/>
  <c r="I40" i="1"/>
  <c r="I41" i="1"/>
  <c r="I42" i="1"/>
  <c r="H39" i="1"/>
  <c r="H40" i="1"/>
  <c r="H41" i="1"/>
  <c r="H42" i="1"/>
  <c r="G39" i="1"/>
  <c r="G40" i="1"/>
  <c r="G41" i="1"/>
  <c r="G42" i="1"/>
  <c r="F39" i="1"/>
  <c r="F40" i="1"/>
  <c r="F41" i="1"/>
  <c r="F42" i="1"/>
  <c r="E39" i="1"/>
  <c r="E40" i="1"/>
  <c r="E38" i="1"/>
  <c r="E41" i="1"/>
  <c r="E42" i="1"/>
  <c r="E44" i="1"/>
  <c r="D39" i="1"/>
  <c r="D40" i="1"/>
  <c r="D41" i="1"/>
  <c r="D42" i="1"/>
  <c r="C39" i="1"/>
  <c r="C40" i="1"/>
  <c r="C41" i="1"/>
  <c r="C42" i="1"/>
  <c r="M38" i="1"/>
  <c r="M44" i="1"/>
  <c r="L38" i="1"/>
  <c r="K38" i="1"/>
  <c r="J38" i="1"/>
  <c r="I38" i="1"/>
  <c r="H38" i="1"/>
  <c r="G38" i="1"/>
  <c r="F38" i="1"/>
  <c r="D38" i="1"/>
  <c r="C38" i="1"/>
  <c r="B38" i="1"/>
  <c r="B39" i="1"/>
  <c r="B40" i="1"/>
  <c r="B41" i="1"/>
  <c r="B42" i="1"/>
  <c r="M30" i="1"/>
  <c r="L30" i="1"/>
  <c r="K30" i="1"/>
  <c r="J30" i="1"/>
  <c r="I30" i="1"/>
  <c r="H30" i="1"/>
  <c r="G30" i="1"/>
  <c r="F30" i="1"/>
  <c r="E30" i="1"/>
  <c r="D30" i="1"/>
  <c r="C30" i="1"/>
  <c r="B30" i="1"/>
  <c r="B31" i="1"/>
  <c r="B32" i="1"/>
  <c r="M27" i="1"/>
  <c r="L27" i="1"/>
  <c r="K27" i="1"/>
  <c r="J27" i="1"/>
  <c r="I27" i="1"/>
  <c r="H27" i="1"/>
  <c r="G27" i="1"/>
  <c r="F27" i="1"/>
  <c r="E27" i="1"/>
  <c r="D27" i="1"/>
  <c r="C27" i="1"/>
  <c r="B27" i="1"/>
  <c r="L19" i="1"/>
  <c r="K19" i="1"/>
  <c r="J19" i="1"/>
  <c r="I19" i="1"/>
  <c r="H19" i="1"/>
  <c r="G19" i="1"/>
  <c r="F19" i="1"/>
  <c r="C19" i="1"/>
  <c r="M18" i="1"/>
  <c r="L18" i="1"/>
  <c r="K18" i="1"/>
  <c r="J18" i="1"/>
  <c r="I18" i="1"/>
  <c r="H18" i="1"/>
  <c r="G18" i="1"/>
  <c r="F18" i="1"/>
  <c r="C18" i="1"/>
  <c r="B18" i="1"/>
  <c r="B19" i="1"/>
  <c r="L13" i="1"/>
  <c r="L14" i="1"/>
  <c r="K13" i="1"/>
  <c r="K14" i="1"/>
  <c r="J13" i="1"/>
  <c r="J14" i="1"/>
  <c r="I13" i="1"/>
  <c r="I14" i="1"/>
  <c r="H13" i="1"/>
  <c r="H14" i="1"/>
  <c r="G13" i="1"/>
  <c r="G14" i="1"/>
  <c r="F13" i="1"/>
  <c r="F14" i="1"/>
  <c r="C13" i="1"/>
  <c r="C14" i="1"/>
  <c r="L12" i="1"/>
  <c r="K12" i="1"/>
  <c r="J12" i="1"/>
  <c r="I12" i="1"/>
  <c r="H12" i="1"/>
  <c r="G12" i="1"/>
  <c r="F12" i="1"/>
  <c r="C12" i="1"/>
  <c r="B12" i="1"/>
  <c r="B13" i="1"/>
  <c r="B14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L9" i="1"/>
  <c r="K7" i="1"/>
  <c r="K9" i="1"/>
  <c r="J7" i="1"/>
  <c r="I7" i="1"/>
  <c r="H7" i="1"/>
  <c r="H9" i="1"/>
  <c r="G7" i="1"/>
  <c r="G9" i="1"/>
  <c r="F7" i="1"/>
  <c r="E7" i="1"/>
  <c r="E9" i="1"/>
  <c r="D7" i="1"/>
  <c r="C7" i="1"/>
  <c r="B7" i="1"/>
  <c r="D48" i="1"/>
  <c r="E53" i="1"/>
  <c r="E52" i="1"/>
  <c r="E51" i="1"/>
  <c r="E50" i="1"/>
  <c r="E49" i="1"/>
  <c r="E19" i="1"/>
  <c r="E18" i="1"/>
  <c r="D53" i="1"/>
  <c r="D51" i="1"/>
  <c r="D19" i="1"/>
  <c r="D18" i="1"/>
  <c r="D13" i="1"/>
  <c r="E12" i="1"/>
  <c r="D50" i="1"/>
  <c r="E13" i="1"/>
  <c r="E14" i="1"/>
  <c r="D52" i="1"/>
  <c r="D12" i="1"/>
  <c r="D14" i="1"/>
  <c r="C53" i="1"/>
  <c r="C51" i="1"/>
  <c r="C50" i="1"/>
  <c r="D49" i="1"/>
  <c r="E48" i="1"/>
  <c r="K44" i="1"/>
  <c r="L44" i="1"/>
  <c r="L56" i="1"/>
  <c r="K56" i="1"/>
  <c r="J44" i="1"/>
  <c r="J56" i="1"/>
  <c r="I34" i="1"/>
  <c r="I9" i="1"/>
  <c r="I44" i="1"/>
  <c r="I56" i="1"/>
  <c r="H44" i="1"/>
  <c r="H56" i="1"/>
  <c r="G44" i="1"/>
  <c r="G56" i="1"/>
  <c r="F44" i="1"/>
  <c r="F56" i="1"/>
  <c r="E56" i="1"/>
  <c r="D56" i="1"/>
  <c r="C15" i="1"/>
  <c r="C44" i="1"/>
  <c r="C56" i="1"/>
  <c r="B34" i="1"/>
  <c r="B44" i="1"/>
  <c r="B56" i="1"/>
  <c r="N39" i="1"/>
  <c r="N40" i="1"/>
  <c r="F20" i="1"/>
  <c r="J20" i="1"/>
  <c r="I20" i="1"/>
  <c r="C9" i="1"/>
  <c r="L20" i="1"/>
  <c r="L15" i="1"/>
  <c r="J15" i="1"/>
  <c r="C20" i="1"/>
  <c r="E34" i="1"/>
  <c r="K15" i="1"/>
  <c r="D15" i="1"/>
  <c r="F15" i="1"/>
  <c r="J34" i="1"/>
  <c r="E20" i="1"/>
  <c r="D9" i="1"/>
  <c r="F9" i="1"/>
  <c r="J9" i="1"/>
  <c r="H20" i="1"/>
  <c r="F34" i="1"/>
  <c r="L34" i="1"/>
  <c r="H15" i="1"/>
  <c r="C34" i="1"/>
  <c r="G34" i="1"/>
  <c r="K34" i="1"/>
  <c r="H34" i="1"/>
  <c r="E15" i="1"/>
  <c r="D20" i="1"/>
  <c r="B9" i="1"/>
  <c r="I15" i="1"/>
  <c r="G15" i="1"/>
  <c r="B20" i="1"/>
  <c r="G20" i="1"/>
  <c r="K20" i="1"/>
  <c r="D34" i="1"/>
  <c r="N38" i="1"/>
  <c r="N27" i="1"/>
  <c r="N8" i="1"/>
  <c r="B15" i="1"/>
  <c r="N24" i="1"/>
  <c r="N49" i="1"/>
  <c r="N52" i="1"/>
  <c r="N48" i="1"/>
  <c r="N50" i="1"/>
  <c r="N42" i="1"/>
  <c r="N41" i="1"/>
  <c r="N33" i="1"/>
  <c r="N32" i="1"/>
  <c r="N31" i="1"/>
  <c r="N30" i="1"/>
  <c r="M9" i="1"/>
  <c r="M51" i="1"/>
  <c r="M53" i="1"/>
  <c r="M56" i="1"/>
  <c r="M34" i="1"/>
  <c r="M13" i="1"/>
  <c r="M14" i="1"/>
  <c r="N18" i="1"/>
  <c r="M19" i="1"/>
  <c r="N7" i="1"/>
  <c r="I22" i="1"/>
  <c r="H22" i="1"/>
  <c r="D22" i="1"/>
  <c r="C45" i="1"/>
  <c r="C58" i="1"/>
  <c r="K45" i="1"/>
  <c r="K58" i="1"/>
  <c r="G45" i="1"/>
  <c r="G58" i="1"/>
  <c r="E22" i="1"/>
  <c r="C22" i="1"/>
  <c r="F45" i="1"/>
  <c r="F58" i="1"/>
  <c r="L45" i="1"/>
  <c r="L58" i="1"/>
  <c r="L22" i="1"/>
  <c r="H45" i="1"/>
  <c r="H58" i="1"/>
  <c r="E45" i="1"/>
  <c r="E58" i="1"/>
  <c r="K22" i="1"/>
  <c r="J22" i="1"/>
  <c r="I45" i="1"/>
  <c r="J45" i="1"/>
  <c r="G22" i="1"/>
  <c r="F22" i="1"/>
  <c r="N51" i="1"/>
  <c r="B45" i="1"/>
  <c r="M45" i="1"/>
  <c r="N34" i="1"/>
  <c r="N19" i="1"/>
  <c r="N9" i="1"/>
  <c r="B1" i="1"/>
  <c r="N14" i="1"/>
  <c r="N13" i="1"/>
  <c r="N53" i="1"/>
  <c r="N44" i="1"/>
  <c r="M12" i="1"/>
  <c r="M20" i="1"/>
  <c r="B58" i="1"/>
  <c r="J58" i="1"/>
  <c r="I58" i="1"/>
  <c r="N45" i="1"/>
  <c r="N20" i="1"/>
  <c r="N56" i="1"/>
  <c r="M58" i="1"/>
  <c r="N12" i="1"/>
  <c r="M15" i="1"/>
  <c r="B60" i="1"/>
  <c r="N58" i="1"/>
  <c r="M22" i="1"/>
  <c r="N15" i="1"/>
  <c r="C60" i="1"/>
  <c r="N22" i="1"/>
  <c r="G1" i="1"/>
  <c r="N60" i="1"/>
  <c r="L1" i="1"/>
  <c r="G2" i="4"/>
  <c r="G5" i="4"/>
  <c r="J28" i="4"/>
  <c r="J30" i="4"/>
  <c r="G2" i="5"/>
  <c r="G5" i="5"/>
  <c r="J28" i="5"/>
  <c r="J30" i="5"/>
  <c r="G2" i="6"/>
  <c r="G5" i="6"/>
  <c r="J28" i="6"/>
  <c r="J30" i="6"/>
  <c r="G2" i="7"/>
  <c r="G5" i="7"/>
  <c r="J28" i="7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G2" i="14"/>
  <c r="G5" i="14"/>
  <c r="J28" i="14"/>
  <c r="J30" i="14"/>
</calcChain>
</file>

<file path=xl/sharedStrings.xml><?xml version="1.0" encoding="utf-8"?>
<sst xmlns="http://schemas.openxmlformats.org/spreadsheetml/2006/main" count="1328" uniqueCount="202">
  <si>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</si>
  <si>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</si>
  <si>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</si>
  <si>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</si>
  <si>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</si>
  <si>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</si>
  <si>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</si>
  <si>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</si>
  <si>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</si>
  <si>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</si>
  <si>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</si>
  <si>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</si>
  <si>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</si>
  <si>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</si>
  <si>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</si>
  <si>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</si>
  <si>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</si>
  <si>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</si>
  <si>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</si>
  <si>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</si>
  <si>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</si>
  <si>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</si>
  <si>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</si>
  <si>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</si>
  <si>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</si>
  <si>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</si>
  <si>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</si>
  <si>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</si>
  <si>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</si>
  <si>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</si>
  <si>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</si>
  <si>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</si>
  <si>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</si>
  <si>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</si>
  <si>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</si>
  <si>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</si>
  <si>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</si>
  <si>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</si>
  <si>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</si>
  <si>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</si>
  <si>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</si>
  <si>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</si>
  <si>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</si>
  <si>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</si>
  <si>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</si>
  <si>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</si>
  <si>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</si>
  <si>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</si>
  <si>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</si>
  <si>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</si>
  <si>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</si>
  <si>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</si>
  <si>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</si>
  <si>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</si>
  <si>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</si>
  <si>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</si>
  <si>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</si>
  <si>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</si>
  <si>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</si>
  <si>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</si>
  <si>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</si>
  <si>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</si>
  <si>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</si>
  <si>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</si>
  <si>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</si>
  <si>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</si>
  <si>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</si>
  <si>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</si>
  <si>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</si>
  <si>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</si>
  <si>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</si>
  <si>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</si>
  <si>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</si>
  <si>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</si>
  <si>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</si>
  <si>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</si>
  <si>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</si>
  <si>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</si>
  <si>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</si>
  <si>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</si>
  <si>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</si>
  <si>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</si>
  <si>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</si>
  <si>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</si>
  <si>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</si>
  <si>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</si>
  <si>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</si>
  <si>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</si>
  <si>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</si>
  <si>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</si>
  <si>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</si>
  <si>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</si>
  <si>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</si>
  <si>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</si>
  <si>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</si>
  <si>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</si>
  <si>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Savings/Month</t>
  </si>
  <si>
    <t>April</t>
  </si>
  <si>
    <t>ACL</t>
  </si>
  <si>
    <t>June</t>
  </si>
  <si>
    <t>July</t>
  </si>
  <si>
    <t>UT Football Tickets</t>
  </si>
  <si>
    <t>August</t>
  </si>
  <si>
    <t>September</t>
  </si>
  <si>
    <t>October</t>
  </si>
  <si>
    <t>November</t>
  </si>
  <si>
    <t>December</t>
  </si>
  <si>
    <t>Roth RSP Savings (8%)</t>
  </si>
  <si>
    <t>Dec 2015 Rollover Balance</t>
  </si>
  <si>
    <t>Februrary</t>
  </si>
  <si>
    <t>Withholding Tax (14.7%)</t>
  </si>
  <si>
    <t>Venmo - Logan</t>
  </si>
  <si>
    <t>Haymaker</t>
  </si>
  <si>
    <t>Hula Hut</t>
  </si>
  <si>
    <t>Chilantro</t>
  </si>
  <si>
    <t>Summermoon Coffee</t>
  </si>
  <si>
    <t>Juan in a Million</t>
  </si>
  <si>
    <t>Ride Austin</t>
  </si>
  <si>
    <t>Redbox - Sully</t>
  </si>
  <si>
    <t>HEB - Grill Supplies</t>
  </si>
  <si>
    <t>Amazon - Monitor</t>
  </si>
  <si>
    <t>Flightpath Coffeehouse</t>
  </si>
  <si>
    <t>HEB</t>
  </si>
  <si>
    <t>Walmart</t>
  </si>
  <si>
    <t>Tiff's Treats</t>
  </si>
  <si>
    <t>Chickfila</t>
  </si>
  <si>
    <t>Pappadeaux</t>
  </si>
  <si>
    <t>Samsung Gear Watch Face</t>
  </si>
  <si>
    <t>The Tavern</t>
  </si>
  <si>
    <t>Redbox - Deepwater Horizon</t>
  </si>
  <si>
    <t>Academy - Clothes</t>
  </si>
  <si>
    <t>Craft Pride</t>
  </si>
  <si>
    <t>Cinemark - Patriots Day</t>
  </si>
  <si>
    <t>Silo On 7th</t>
  </si>
  <si>
    <t>Maggie Maes</t>
  </si>
  <si>
    <t>Michigan Flyer</t>
  </si>
  <si>
    <t>Sidelines</t>
  </si>
  <si>
    <t>Thaikun</t>
  </si>
  <si>
    <t>Verts</t>
  </si>
  <si>
    <t>Sun N Ski - Board Tune</t>
  </si>
  <si>
    <t>Sun N Ski - Vest/Shirt</t>
  </si>
  <si>
    <t>MOD Pizza</t>
  </si>
  <si>
    <t>ATM Withdrawal</t>
  </si>
  <si>
    <t>Southern Hospitality</t>
  </si>
  <si>
    <t>Burgerfi</t>
  </si>
  <si>
    <t>The Fainting Goat</t>
  </si>
  <si>
    <t>Food Kingdom</t>
  </si>
  <si>
    <t>Luigis</t>
  </si>
  <si>
    <t>Breckenridge Epic Lift Pass</t>
  </si>
  <si>
    <t>Empire Burger</t>
  </si>
  <si>
    <t>Maggie</t>
  </si>
  <si>
    <t>DIA Parking + Denver Train</t>
  </si>
  <si>
    <t>ACME Burgers</t>
  </si>
  <si>
    <t>MSU Law Barristers Ball</t>
  </si>
  <si>
    <t>Panda Express</t>
  </si>
  <si>
    <t>Las Trancas</t>
  </si>
  <si>
    <t>Pacific Rim</t>
  </si>
  <si>
    <t>Tysons Tacos</t>
  </si>
  <si>
    <t>Mozarts Coffee</t>
  </si>
  <si>
    <t>Raising Cane's</t>
  </si>
  <si>
    <t>2016 AVG</t>
  </si>
  <si>
    <t>2016 Goal</t>
  </si>
  <si>
    <t>2017 Goal</t>
  </si>
  <si>
    <t>Exxon</t>
  </si>
  <si>
    <t>Uber (Venmo)</t>
  </si>
  <si>
    <t>Okra Charity</t>
  </si>
  <si>
    <t>Coco Crepes</t>
  </si>
  <si>
    <t>Super Bowl Conces.</t>
  </si>
  <si>
    <t>Shady Rays</t>
  </si>
  <si>
    <t>Valero</t>
  </si>
  <si>
    <t>Kendra Scott</t>
  </si>
  <si>
    <t>Roth RSP Savings (10%)</t>
  </si>
  <si>
    <t>1 Stop Food</t>
  </si>
  <si>
    <t>Desano Pizza</t>
  </si>
  <si>
    <t>Hopdoddy</t>
  </si>
  <si>
    <t>UT Basketball Tickets</t>
  </si>
  <si>
    <t>Bungalow</t>
  </si>
  <si>
    <t>Austin Athletics</t>
  </si>
  <si>
    <t>Insomnia Cookie</t>
  </si>
  <si>
    <t>Miami Flight</t>
  </si>
  <si>
    <t>Via 313 Pizza</t>
  </si>
  <si>
    <t>Venmo - Bachelor Condo</t>
  </si>
  <si>
    <t>ATM - Michigan</t>
  </si>
  <si>
    <t>Special Cuts</t>
  </si>
  <si>
    <t>Heart of Texas Barbecue</t>
  </si>
  <si>
    <t>Legends</t>
  </si>
  <si>
    <t>Fieldhouse</t>
  </si>
  <si>
    <t>Harpers</t>
  </si>
  <si>
    <t>Los Tres Amigos</t>
  </si>
  <si>
    <t>Beggar's Banquet</t>
  </si>
  <si>
    <t>Capital Prime Steak</t>
  </si>
  <si>
    <t>McDonalds</t>
  </si>
  <si>
    <t>NCG Movies - Lego Batman</t>
  </si>
  <si>
    <t>HEB - Cosemetics</t>
  </si>
  <si>
    <t>CVS - Pharmacy</t>
  </si>
  <si>
    <t>Venmo - Ryan/Dillon</t>
  </si>
  <si>
    <t>Draught House</t>
  </si>
  <si>
    <t>Taco Joint</t>
  </si>
  <si>
    <t>Parking</t>
  </si>
  <si>
    <t>Latitude</t>
  </si>
  <si>
    <t>Russells Bistro</t>
  </si>
  <si>
    <t>Ty - WakeSurf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</si>
</sst>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1" applyFont="1" applyBorder="1"/>
    <xf numFmtId="44" fontId="3" fillId="0" borderId="0" xfId="1" applyFont="1"/>
    <xf numFmtId="0" fontId="0" fillId="0" borderId="1" xfId="0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0" xfId="0" applyNumberFormat="1"/>
    <xf numFmtId="0" fontId="0" fillId="0" borderId="0" xfId="0" applyBorder="1"/>
    <xf numFmtId="44" fontId="4" fillId="0" borderId="4" xfId="0" applyNumberFormat="1" applyFont="1" applyBorder="1"/>
    <xf numFmtId="44" fontId="3" fillId="0" borderId="4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6" xfId="0" applyFont="1" applyBorder="1"/>
    <xf numFmtId="44" fontId="0" fillId="0" borderId="7" xfId="0" applyNumberFormat="1" applyFont="1" applyBorder="1"/>
    <xf numFmtId="44" fontId="0" fillId="0" borderId="8" xfId="0" applyNumberFormat="1" applyFont="1" applyBorder="1"/>
    <xf numFmtId="44" fontId="3" fillId="0" borderId="1" xfId="0" applyNumberFormat="1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0" fontId="3" fillId="0" borderId="11" xfId="0" applyFont="1" applyBorder="1"/>
    <xf numFmtId="44" fontId="0" fillId="0" borderId="10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Fill="1" applyBorder="1"/>
    <xf numFmtId="44" fontId="0" fillId="0" borderId="12" xfId="0" applyNumberFormat="1" applyBorder="1"/>
    <xf numFmtId="0" fontId="3" fillId="0" borderId="11" xfId="0" applyFont="1" applyFill="1" applyBorder="1"/>
    <xf numFmtId="44" fontId="4" fillId="0" borderId="10" xfId="0" applyNumberFormat="1" applyFont="1" applyBorder="1"/>
    <xf numFmtId="10" fontId="2" fillId="0" borderId="12" xfId="2" applyNumberFormat="1" applyFont="1" applyBorder="1" applyAlignment="1">
      <alignment horizontal="center"/>
    </xf>
    <xf numFmtId="44" fontId="2" fillId="0" borderId="17" xfId="2" applyNumberFormat="1" applyFont="1" applyBorder="1" applyAlignment="1">
      <alignment horizontal="center"/>
    </xf>
    <xf numFmtId="0" fontId="0" fillId="0" borderId="13" xfId="0" applyFill="1" applyBorder="1"/>
    <xf numFmtId="10" fontId="2" fillId="0" borderId="5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44" fontId="3" fillId="0" borderId="10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44" fontId="0" fillId="0" borderId="17" xfId="0" applyNumberFormat="1" applyBorder="1"/>
    <xf numFmtId="164" fontId="0" fillId="0" borderId="18" xfId="2" applyNumberFormat="1" applyFont="1" applyBorder="1"/>
    <xf numFmtId="44" fontId="2" fillId="0" borderId="4" xfId="1" applyFont="1" applyBorder="1"/>
    <xf numFmtId="0" fontId="2" fillId="0" borderId="4" xfId="0" applyFont="1" applyBorder="1"/>
    <xf numFmtId="0" fontId="4" fillId="0" borderId="6" xfId="0" applyFont="1" applyBorder="1"/>
    <xf numFmtId="0" fontId="0" fillId="0" borderId="9" xfId="0" applyFont="1" applyBorder="1"/>
    <xf numFmtId="44" fontId="0" fillId="0" borderId="15" xfId="1" applyFont="1" applyBorder="1"/>
    <xf numFmtId="0" fontId="2" fillId="0" borderId="13" xfId="0" applyFont="1" applyFill="1" applyBorder="1"/>
    <xf numFmtId="0" fontId="0" fillId="0" borderId="12" xfId="0" applyBorder="1"/>
    <xf numFmtId="0" fontId="0" fillId="0" borderId="19" xfId="0" applyFont="1" applyFill="1" applyBorder="1"/>
    <xf numFmtId="0" fontId="0" fillId="0" borderId="11" xfId="0" applyFont="1" applyFill="1" applyBorder="1"/>
    <xf numFmtId="0" fontId="2" fillId="0" borderId="20" xfId="0" applyFont="1" applyFill="1" applyBorder="1"/>
    <xf numFmtId="44" fontId="2" fillId="0" borderId="10" xfId="1" applyFont="1" applyBorder="1"/>
    <xf numFmtId="0" fontId="0" fillId="0" borderId="19" xfId="0" applyBorder="1"/>
    <xf numFmtId="0" fontId="2" fillId="0" borderId="20" xfId="0" applyFont="1" applyBorder="1"/>
    <xf numFmtId="0" fontId="0" fillId="0" borderId="18" xfId="0" applyBorder="1"/>
    <xf numFmtId="44" fontId="3" fillId="0" borderId="8" xfId="0" applyNumberFormat="1" applyFont="1" applyBorder="1"/>
    <xf numFmtId="44" fontId="0" fillId="0" borderId="3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3" xfId="0" applyNumberFormat="1" applyBorder="1"/>
    <xf numFmtId="14" fontId="0" fillId="0" borderId="3" xfId="0" applyNumberFormat="1" applyBorder="1"/>
    <xf numFmtId="0" fontId="0" fillId="0" borderId="5" xfId="0" applyNumberFormat="1" applyBorder="1"/>
    <xf numFmtId="44" fontId="0" fillId="0" borderId="5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3" xfId="0" applyFill="1" applyBorder="1"/>
    <xf numFmtId="0" fontId="2" fillId="0" borderId="11" xfId="0" applyFont="1" applyFill="1" applyBorder="1"/>
    <xf numFmtId="44" fontId="3" fillId="0" borderId="7" xfId="0" applyNumberFormat="1" applyFont="1" applyBorder="1"/>
    <xf numFmtId="0" fontId="2" fillId="0" borderId="0" xfId="0" applyFont="1" applyBorder="1"/>
    <xf numFmtId="44" fontId="2" fillId="0" borderId="21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7" xfId="0" applyNumberFormat="1" applyFont="1" applyBorder="1"/>
    <xf numFmtId="44" fontId="3" fillId="0" borderId="0" xfId="0" applyNumberFormat="1" applyFont="1" applyBorder="1"/>
    <xf numFmtId="0" fontId="3" fillId="0" borderId="22" xfId="0" applyFont="1" applyBorder="1"/>
    <xf numFmtId="44" fontId="3" fillId="0" borderId="22" xfId="0" applyNumberFormat="1" applyFont="1" applyBorder="1"/>
    <xf numFmtId="44" fontId="0" fillId="0" borderId="22" xfId="0" applyNumberFormat="1" applyBorder="1"/>
    <xf numFmtId="44" fontId="3" fillId="0" borderId="23" xfId="0" applyNumberFormat="1" applyFont="1" applyBorder="1"/>
    <xf numFmtId="44" fontId="3" fillId="0" borderId="24" xfId="0" applyNumberFormat="1" applyFont="1" applyBorder="1"/>
    <xf numFmtId="44" fontId="2" fillId="0" borderId="3" xfId="0" applyNumberFormat="1" applyFont="1" applyBorder="1"/>
    <xf numFmtId="44" fontId="4" fillId="0" borderId="24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44" fontId="0" fillId="0" borderId="0" xfId="1" applyFont="1" applyFill="1" applyBorder="1"/>
    <xf numFmtId="44" fontId="2" fillId="0" borderId="4" xfId="1" applyFont="1" applyFill="1" applyBorder="1"/>
    <xf numFmtId="0" fontId="3" fillId="0" borderId="0" xfId="0" applyFont="1"/>
    <xf numFmtId="44" fontId="4" fillId="0" borderId="25" xfId="1" applyFont="1" applyBorder="1"/>
    <xf numFmtId="0" fontId="4" fillId="0" borderId="26" xfId="0" applyFont="1" applyBorder="1"/>
    <xf numFmtId="44" fontId="4" fillId="0" borderId="27" xfId="1" applyFont="1" applyBorder="1"/>
    <xf numFmtId="44" fontId="0" fillId="0" borderId="0" xfId="0" applyNumberFormat="1" applyBorder="1"/>
    <xf numFmtId="44" fontId="0" fillId="0" borderId="28" xfId="0" applyNumberFormat="1" applyBorder="1"/>
    <xf numFmtId="0" fontId="5" fillId="0" borderId="3" xfId="0" applyFont="1" applyFill="1" applyBorder="1"/>
    <xf numFmtId="44" fontId="0" fillId="0" borderId="29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29" xfId="1" applyFont="1" applyBorder="1"/>
    <xf numFmtId="0" fontId="3" fillId="0" borderId="0" xfId="0" applyFont="1"/>
    <xf numFmtId="166" fontId="0" fillId="0" borderId="0" xfId="0" applyNumberFormat="1"/>
    <xf numFmtId="166" fontId="3" fillId="0" borderId="0" xfId="0" applyNumberFormat="1" applyFont="1"/>
    <xf numFmtId="0" fontId="3" fillId="0" borderId="30" xfId="0" applyFont="1" applyBorder="1"/>
    <xf numFmtId="44" fontId="3" fillId="0" borderId="2" xfId="0" applyNumberFormat="1" applyFont="1" applyBorder="1"/>
    <xf numFmtId="44" fontId="6" fillId="0" borderId="0" xfId="1" applyFont="1" applyAlignment="1"/>
    <xf numFmtId="0" fontId="3" fillId="0" borderId="0" xfId="0" applyFont="1"/>
    <xf numFmtId="14" fontId="0" fillId="0" borderId="0" xfId="0" applyNumberFormat="1" applyBorder="1"/>
    <xf numFmtId="44" fontId="4" fillId="0" borderId="0" xfId="0" applyNumberFormat="1" applyFont="1" applyBorder="1"/>
    <xf numFmtId="0" fontId="0" fillId="0" borderId="0" xfId="0" applyNumberFormat="1" applyBorder="1"/>
    <xf numFmtId="0" fontId="3" fillId="0" borderId="9" xfId="0" applyFont="1" applyBorder="1"/>
    <xf numFmtId="0" fontId="0" fillId="0" borderId="31" xfId="0" applyBorder="1"/>
    <xf numFmtId="44" fontId="2" fillId="0" borderId="12" xfId="0" applyNumberFormat="1" applyFont="1" applyBorder="1"/>
    <xf numFmtId="44" fontId="0" fillId="0" borderId="18" xfId="0" applyNumberFormat="1" applyFill="1" applyBorder="1"/>
    <xf numFmtId="44" fontId="0" fillId="0" borderId="18" xfId="0" applyNumberFormat="1" applyBorder="1"/>
    <xf numFmtId="0" fontId="3" fillId="0" borderId="11" xfId="0" applyFont="1" applyBorder="1" applyAlignment="1">
      <alignment horizontal="center"/>
    </xf>
    <xf numFmtId="44" fontId="0" fillId="0" borderId="12" xfId="0" applyNumberFormat="1" applyFill="1" applyBorder="1"/>
    <xf numFmtId="44" fontId="0" fillId="0" borderId="18" xfId="1" applyFont="1" applyBorder="1"/>
    <xf numFmtId="44" fontId="0" fillId="0" borderId="12" xfId="1" applyFont="1" applyFill="1" applyBorder="1"/>
    <xf numFmtId="44" fontId="0" fillId="0" borderId="18" xfId="1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44" fontId="0" fillId="2" borderId="0" xfId="0" applyNumberFormat="1" applyFill="1"/>
    <xf numFmtId="44" fontId="0" fillId="2" borderId="12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R17" sqref="R17"/>
    </sheetView>
  </sheetViews>
  <sheetFormatPr baseColWidth="10" defaultColWidth="8.83203125" defaultRowHeight="15" x14ac:dyDescent="0.2"/>
  <cols>
    <col min="1" max="1" width="28.5" bestFit="1" customWidth="1"/>
    <col min="2" max="3" width="12.33203125" bestFit="1" customWidth="1"/>
    <col min="4" max="4" width="11.6640625" customWidth="1"/>
    <col min="5" max="13" width="12.33203125" bestFit="1" customWidth="1"/>
    <col min="14" max="14" width="12.33203125" style="65" bestFit="1" customWidth="1"/>
    <col min="15" max="15" width="12.33203125" style="86" bestFit="1" customWidth="1"/>
    <col min="16" max="16" width="13" bestFit="1" customWidth="1"/>
    <col min="17" max="17" width="12.33203125" customWidth="1"/>
    <col min="18" max="18" width="10.6640625" customWidth="1"/>
    <col min="19" max="19" width="9.83203125" customWidth="1"/>
  </cols>
  <sheetData>
    <row r="1" spans="1:15" x14ac:dyDescent="0.2">
      <c r="A1" t="s">
        <v>0</v>
      </c>
      <c r="B1" s="100">
        <f>N9</f>
        <v>21778.190000000002</v>
      </c>
      <c r="C1" s="100"/>
      <c r="E1" s="125" t="s">
        <v>1</v>
      </c>
      <c r="F1" s="125"/>
      <c r="G1" s="100">
        <f>N22</f>
        <v>14342.7124</v>
      </c>
      <c r="H1" s="100"/>
      <c r="J1" s="125" t="s">
        <v>2</v>
      </c>
      <c r="K1" s="125"/>
      <c r="L1" s="108">
        <f>N60-B2</f>
        <v>8179.7298999999985</v>
      </c>
      <c r="M1" s="101"/>
    </row>
    <row r="2" spans="1:15" x14ac:dyDescent="0.2">
      <c r="A2" t="s">
        <v>108</v>
      </c>
      <c r="B2" s="100">
        <v>18895.86</v>
      </c>
      <c r="C2" s="100"/>
    </row>
    <row r="3" spans="1:15" x14ac:dyDescent="0.2">
      <c r="O3" s="87"/>
    </row>
    <row r="5" spans="1:15" x14ac:dyDescent="0.2">
      <c r="A5" s="92"/>
      <c r="B5" s="92" t="s">
        <v>3</v>
      </c>
      <c r="C5" s="92" t="s">
        <v>4</v>
      </c>
      <c r="D5" s="92" t="s">
        <v>5</v>
      </c>
      <c r="E5" s="92" t="s">
        <v>6</v>
      </c>
      <c r="F5" s="92" t="s">
        <v>7</v>
      </c>
      <c r="G5" s="92" t="s">
        <v>8</v>
      </c>
      <c r="H5" s="92" t="s">
        <v>9</v>
      </c>
      <c r="I5" s="92" t="s">
        <v>10</v>
      </c>
      <c r="J5" s="92" t="s">
        <v>11</v>
      </c>
      <c r="K5" s="92" t="s">
        <v>12</v>
      </c>
      <c r="L5" s="92" t="s">
        <v>13</v>
      </c>
      <c r="M5" s="92" t="s">
        <v>14</v>
      </c>
      <c r="N5" s="79" t="s">
        <v>69</v>
      </c>
      <c r="O5" s="79" t="s">
        <v>77</v>
      </c>
    </row>
    <row r="6" spans="1:15" ht="16" thickBot="1" x14ac:dyDescent="0.25">
      <c r="A6" s="6" t="s">
        <v>15</v>
      </c>
      <c r="N6" s="79"/>
      <c r="O6" s="79"/>
    </row>
    <row r="7" spans="1:15" x14ac:dyDescent="0.2">
      <c r="A7" t="s">
        <v>19</v>
      </c>
      <c r="B7" s="9">
        <f>SUM(Jan!C6:D6)</f>
        <v>5407.26</v>
      </c>
      <c r="C7" s="9">
        <f>SUM(Feb!C6:D6)</f>
        <v>5407.26</v>
      </c>
      <c r="D7" s="9">
        <f>SUM(Mar!C6:D6)</f>
        <v>0</v>
      </c>
      <c r="E7" s="9">
        <f>SUM(Apr!C6:D6)</f>
        <v>0</v>
      </c>
      <c r="F7" s="9">
        <f>SUM(May!C6:D6)</f>
        <v>0</v>
      </c>
      <c r="G7" s="9">
        <f>SUM(Jun!C6:D6)</f>
        <v>0</v>
      </c>
      <c r="H7" s="9">
        <f>SUM(Jul!C6:D6)</f>
        <v>0</v>
      </c>
      <c r="I7" s="9">
        <f>SUM(Aug!C6:D6)</f>
        <v>0</v>
      </c>
      <c r="J7" s="9">
        <f>SUM(Sep!C6:D6)</f>
        <v>0</v>
      </c>
      <c r="K7" s="9">
        <f>SUM(Oct!C6:D6)</f>
        <v>0</v>
      </c>
      <c r="L7" s="9">
        <f>SUM(Nov!C6:D6)</f>
        <v>0</v>
      </c>
      <c r="M7" s="9">
        <f>SUM(Dec!C6:D6)</f>
        <v>0</v>
      </c>
      <c r="N7" s="80">
        <f>SUM(B7:M7)</f>
        <v>10814.52</v>
      </c>
      <c r="O7" s="80">
        <f>AVERAGEIF(B7:M7,"&lt;&gt;0")</f>
        <v>5407.26</v>
      </c>
    </row>
    <row r="8" spans="1:15" ht="16" thickBot="1" x14ac:dyDescent="0.25">
      <c r="A8" t="s">
        <v>20</v>
      </c>
      <c r="B8" s="61">
        <f>SUM(Jan!C7:D7)</f>
        <v>0</v>
      </c>
      <c r="C8" s="61">
        <f>SUM(Feb!C7:D7)</f>
        <v>10963.67</v>
      </c>
      <c r="D8" s="61">
        <f>SUM(Mar!C7:D7)</f>
        <v>0</v>
      </c>
      <c r="E8" s="61">
        <f>SUM(Apr!C7:D7)</f>
        <v>0</v>
      </c>
      <c r="F8" s="61">
        <f>SUM(May!C7:D7)</f>
        <v>0</v>
      </c>
      <c r="G8" s="61">
        <f>SUM(Jun!C7:D7)</f>
        <v>0</v>
      </c>
      <c r="H8" s="61">
        <f>SUM(Jul!C7:D7)</f>
        <v>0</v>
      </c>
      <c r="I8" s="61">
        <f>SUM(Aug!C7:D7)</f>
        <v>0</v>
      </c>
      <c r="J8" s="61">
        <f>SUM(Sep!C7:D7)</f>
        <v>0</v>
      </c>
      <c r="K8" s="61">
        <f>SUM(Oct!C7:D7)</f>
        <v>0</v>
      </c>
      <c r="L8" s="61">
        <f>SUM(Nov!C7:D7)</f>
        <v>0</v>
      </c>
      <c r="M8" s="61">
        <f>SUM(Dec!C7:D7)</f>
        <v>0</v>
      </c>
      <c r="N8" s="82">
        <f t="shared" ref="N8:N58" si="0">SUM(B8:M8)</f>
        <v>10963.67</v>
      </c>
      <c r="O8" s="80">
        <f t="shared" ref="O8:O60" si="1">AVERAGEIF(B8:M8,"&lt;&gt;0")</f>
        <v>10963.67</v>
      </c>
    </row>
    <row r="9" spans="1:15" x14ac:dyDescent="0.2">
      <c r="A9" t="s">
        <v>60</v>
      </c>
      <c r="B9" s="9">
        <f>SUM(B7:B8)</f>
        <v>5407.26</v>
      </c>
      <c r="C9" s="9">
        <f>SUM(C7:C8)</f>
        <v>16370.93</v>
      </c>
      <c r="D9" s="9">
        <f t="shared" ref="D9:M9" si="2">SUM(D7:D8)</f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80">
        <f t="shared" si="0"/>
        <v>21778.190000000002</v>
      </c>
      <c r="O9" s="80">
        <f t="shared" si="1"/>
        <v>10889.095000000001</v>
      </c>
    </row>
    <row r="10" spans="1:15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0"/>
      <c r="O10" s="80"/>
    </row>
    <row r="11" spans="1:15" ht="16" thickBot="1" x14ac:dyDescent="0.25">
      <c r="A11" s="6" t="s">
        <v>68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0"/>
      <c r="O11" s="80"/>
    </row>
    <row r="12" spans="1:15" s="68" customFormat="1" x14ac:dyDescent="0.2">
      <c r="A12" s="75" t="s">
        <v>70</v>
      </c>
      <c r="B12" s="67">
        <f>SUM(Jan!C12:D12)</f>
        <v>811.09</v>
      </c>
      <c r="C12" s="67">
        <f>SUM(Feb!C12:D12)</f>
        <v>3552.01</v>
      </c>
      <c r="D12" s="67">
        <f>SUM(Mar!C12:D12)</f>
        <v>0</v>
      </c>
      <c r="E12" s="67">
        <f>SUM(Apr!C12:D12)</f>
        <v>0</v>
      </c>
      <c r="F12" s="67">
        <f>SUM(May!C12:D12)</f>
        <v>0</v>
      </c>
      <c r="G12" s="67">
        <f>SUM(Jun!C12:D12)</f>
        <v>0</v>
      </c>
      <c r="H12" s="67">
        <f>SUM(Jul!C12:D12)</f>
        <v>0</v>
      </c>
      <c r="I12" s="67">
        <f>SUM(Aug!C12:D12)</f>
        <v>0</v>
      </c>
      <c r="J12" s="67">
        <f>SUM(Sep!C12:D12)</f>
        <v>0</v>
      </c>
      <c r="K12" s="67">
        <f>SUM(Oct!C12:D12)</f>
        <v>0</v>
      </c>
      <c r="L12" s="67">
        <f>SUM(Nov!C12:D12)</f>
        <v>0</v>
      </c>
      <c r="M12" s="67">
        <f>SUM(Dec!C12:D12)</f>
        <v>0</v>
      </c>
      <c r="N12" s="80">
        <f t="shared" si="0"/>
        <v>4363.1000000000004</v>
      </c>
      <c r="O12" s="80">
        <f t="shared" si="1"/>
        <v>2181.5500000000002</v>
      </c>
    </row>
    <row r="13" spans="1:15" s="68" customFormat="1" x14ac:dyDescent="0.2">
      <c r="A13" s="75" t="s">
        <v>71</v>
      </c>
      <c r="B13" s="67">
        <f>SUM(Jan!C13:D13)</f>
        <v>335.44</v>
      </c>
      <c r="C13" s="67">
        <f>SUM(Feb!C13:D13)</f>
        <v>1015.1800000000001</v>
      </c>
      <c r="D13" s="67">
        <f>SUM(Mar!C13:D13)</f>
        <v>0</v>
      </c>
      <c r="E13" s="67">
        <f>SUM(Apr!C13:D13)</f>
        <v>0</v>
      </c>
      <c r="F13" s="67">
        <f>SUM(May!C13:D13)</f>
        <v>0</v>
      </c>
      <c r="G13" s="67">
        <f>SUM(Jun!C13:D13)</f>
        <v>0</v>
      </c>
      <c r="H13" s="67">
        <f>SUM(Jul!C13:D13)</f>
        <v>0</v>
      </c>
      <c r="I13" s="67">
        <f>SUM(Aug!C13:D13)</f>
        <v>0</v>
      </c>
      <c r="J13" s="67">
        <f>SUM(Sep!C13:D13)</f>
        <v>0</v>
      </c>
      <c r="K13" s="67">
        <f>SUM(Oct!C13:D13)</f>
        <v>0</v>
      </c>
      <c r="L13" s="67">
        <f>SUM(Nov!C13:D13)</f>
        <v>0</v>
      </c>
      <c r="M13" s="67">
        <f>SUM(Dec!C13:D13)</f>
        <v>0</v>
      </c>
      <c r="N13" s="80">
        <f t="shared" si="0"/>
        <v>1350.6200000000001</v>
      </c>
      <c r="O13" s="80">
        <f t="shared" si="1"/>
        <v>675.31000000000006</v>
      </c>
    </row>
    <row r="14" spans="1:15" s="68" customFormat="1" ht="16" thickBot="1" x14ac:dyDescent="0.25">
      <c r="A14" s="75" t="s">
        <v>72</v>
      </c>
      <c r="B14" s="84">
        <f>SUM(Jan!C14:D14)</f>
        <v>78.45</v>
      </c>
      <c r="C14" s="84">
        <f>SUM(Feb!C14:D14)</f>
        <v>237.42000000000002</v>
      </c>
      <c r="D14" s="84">
        <f>SUM(Mar!C14:D14)</f>
        <v>0</v>
      </c>
      <c r="E14" s="84">
        <f>SUM(Apr!C14:D14)</f>
        <v>0</v>
      </c>
      <c r="F14" s="84">
        <f>SUM(May!C14:D14)</f>
        <v>0</v>
      </c>
      <c r="G14" s="84">
        <f>SUM(Jun!C14:D14)</f>
        <v>0</v>
      </c>
      <c r="H14" s="84">
        <f>SUM(Jul!C14:D14)</f>
        <v>0</v>
      </c>
      <c r="I14" s="84">
        <f>SUM(Aug!C14:D14)</f>
        <v>0</v>
      </c>
      <c r="J14" s="84">
        <f>SUM(Sep!C14:D14)</f>
        <v>0</v>
      </c>
      <c r="K14" s="84">
        <f>SUM(Oct!C14:D14)</f>
        <v>0</v>
      </c>
      <c r="L14" s="84">
        <f>SUM(Nov!C14:D14)</f>
        <v>0</v>
      </c>
      <c r="M14" s="84">
        <f>SUM(Dec!C14:D14)</f>
        <v>0</v>
      </c>
      <c r="N14" s="82">
        <f t="shared" si="0"/>
        <v>315.87</v>
      </c>
      <c r="O14" s="80">
        <f t="shared" si="1"/>
        <v>157.935</v>
      </c>
    </row>
    <row r="15" spans="1:15" x14ac:dyDescent="0.2">
      <c r="A15" s="66" t="s">
        <v>24</v>
      </c>
      <c r="B15" s="67">
        <f>SUM(B12:B14)</f>
        <v>1224.98</v>
      </c>
      <c r="C15" s="67">
        <f t="shared" ref="C15:M15" si="3">SUM(C12:C14)</f>
        <v>4804.6100000000006</v>
      </c>
      <c r="D15" s="67">
        <f t="shared" si="3"/>
        <v>0</v>
      </c>
      <c r="E15" s="67">
        <f t="shared" si="3"/>
        <v>0</v>
      </c>
      <c r="F15" s="67">
        <f t="shared" si="3"/>
        <v>0</v>
      </c>
      <c r="G15" s="67">
        <f t="shared" si="3"/>
        <v>0</v>
      </c>
      <c r="H15" s="67">
        <f t="shared" si="3"/>
        <v>0</v>
      </c>
      <c r="I15" s="67">
        <f t="shared" si="3"/>
        <v>0</v>
      </c>
      <c r="J15" s="67">
        <f t="shared" si="3"/>
        <v>0</v>
      </c>
      <c r="K15" s="67">
        <f t="shared" si="3"/>
        <v>0</v>
      </c>
      <c r="L15" s="67">
        <f t="shared" si="3"/>
        <v>0</v>
      </c>
      <c r="M15" s="67">
        <f t="shared" si="3"/>
        <v>0</v>
      </c>
      <c r="N15" s="80">
        <f t="shared" si="0"/>
        <v>6029.59</v>
      </c>
      <c r="O15" s="80">
        <f t="shared" si="1"/>
        <v>3014.7950000000001</v>
      </c>
    </row>
    <row r="16" spans="1:15" x14ac:dyDescent="0.2">
      <c r="A16" s="66"/>
      <c r="B16" s="88"/>
      <c r="C16" s="88"/>
      <c r="D16" s="88"/>
      <c r="E16" s="88"/>
      <c r="F16" s="88"/>
      <c r="G16" s="9"/>
      <c r="H16" s="9"/>
      <c r="I16" s="9"/>
      <c r="J16" s="9"/>
      <c r="K16" s="9"/>
      <c r="L16" s="9"/>
      <c r="M16" s="9"/>
      <c r="N16" s="80"/>
      <c r="O16" s="80"/>
    </row>
    <row r="17" spans="1:15 16384:16384" ht="16" thickBot="1" x14ac:dyDescent="0.25">
      <c r="A17" s="70" t="s">
        <v>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0"/>
      <c r="O17" s="80"/>
    </row>
    <row r="18" spans="1:15 16384:16384" x14ac:dyDescent="0.2">
      <c r="A18" s="29" t="s">
        <v>28</v>
      </c>
      <c r="B18" s="9">
        <f>SUM(Jan!C21:D21)</f>
        <v>432.58080000000001</v>
      </c>
      <c r="C18" s="9">
        <f>SUM(Feb!C21:D21)</f>
        <v>540.726</v>
      </c>
      <c r="D18" s="9">
        <f>SUM(Mar!C21:D21)</f>
        <v>0</v>
      </c>
      <c r="E18" s="9">
        <f>SUM(Apr!C21:D21)</f>
        <v>0</v>
      </c>
      <c r="F18" s="9">
        <f>SUM(May!C21:D21)</f>
        <v>0</v>
      </c>
      <c r="G18" s="9">
        <f>SUM(Jun!C21:D21)</f>
        <v>0</v>
      </c>
      <c r="H18" s="9">
        <f>SUM(Jul!C21:D21)</f>
        <v>0</v>
      </c>
      <c r="I18" s="9">
        <f>SUM(Aug!C21:D21)</f>
        <v>0</v>
      </c>
      <c r="J18" s="9">
        <f>SUM(Sep!C21:D21)</f>
        <v>0</v>
      </c>
      <c r="K18" s="9">
        <f>SUM(Oct!C21:D21)</f>
        <v>0</v>
      </c>
      <c r="L18" s="9">
        <f>SUM(Nov!C21:D21)</f>
        <v>0</v>
      </c>
      <c r="M18" s="9">
        <f>SUM(Dec!C21:D21)</f>
        <v>0</v>
      </c>
      <c r="N18" s="80">
        <f t="shared" si="0"/>
        <v>973.30680000000007</v>
      </c>
      <c r="O18" s="80">
        <f t="shared" si="1"/>
        <v>486.65340000000003</v>
      </c>
    </row>
    <row r="19" spans="1:15 16384:16384" ht="16" thickBot="1" x14ac:dyDescent="0.25">
      <c r="A19" s="29" t="s">
        <v>29</v>
      </c>
      <c r="B19" s="61">
        <f>SUM(Jan!C22:D22)</f>
        <v>216.29040000000001</v>
      </c>
      <c r="C19" s="61">
        <f>SUM(Feb!C22:D22)</f>
        <v>216.29040000000001</v>
      </c>
      <c r="D19" s="61">
        <f>SUM(Mar!C22:D22)</f>
        <v>0</v>
      </c>
      <c r="E19" s="61">
        <f>SUM(Apr!C22:D22)</f>
        <v>0</v>
      </c>
      <c r="F19" s="61">
        <f>SUM(May!C22:D22)</f>
        <v>0</v>
      </c>
      <c r="G19" s="61">
        <f>SUM(Jun!C22:D22)</f>
        <v>0</v>
      </c>
      <c r="H19" s="61">
        <f>SUM(Jul!C22:D22)</f>
        <v>0</v>
      </c>
      <c r="I19" s="61">
        <f>SUM(Aug!C22:D22)</f>
        <v>0</v>
      </c>
      <c r="J19" s="61">
        <f>SUM(Sep!C22:D22)</f>
        <v>0</v>
      </c>
      <c r="K19" s="61">
        <f>SUM(Oct!C22:D22)</f>
        <v>0</v>
      </c>
      <c r="L19" s="61">
        <f>SUM(Nov!C22:D22)</f>
        <v>0</v>
      </c>
      <c r="M19" s="61">
        <f>SUM(Dec!C22:D22)</f>
        <v>0</v>
      </c>
      <c r="N19" s="82">
        <f t="shared" si="0"/>
        <v>432.58080000000001</v>
      </c>
      <c r="O19" s="80">
        <f t="shared" si="1"/>
        <v>216.29040000000001</v>
      </c>
    </row>
    <row r="20" spans="1:15 16384:16384" x14ac:dyDescent="0.2">
      <c r="A20" s="66" t="s">
        <v>30</v>
      </c>
      <c r="B20" s="9">
        <f>SUM(B18:B19)</f>
        <v>648.87120000000004</v>
      </c>
      <c r="C20" s="9">
        <f t="shared" ref="C20:M20" si="4">SUM(C18:C19)</f>
        <v>757.01639999999998</v>
      </c>
      <c r="D20" s="9">
        <f t="shared" si="4"/>
        <v>0</v>
      </c>
      <c r="E20" s="9">
        <f t="shared" si="4"/>
        <v>0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80">
        <f t="shared" si="0"/>
        <v>1405.8876</v>
      </c>
      <c r="O20" s="80">
        <f t="shared" si="1"/>
        <v>702.94380000000001</v>
      </c>
    </row>
    <row r="21" spans="1:15 16384:16384" ht="16" thickBo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82"/>
      <c r="O21" s="80"/>
    </row>
    <row r="22" spans="1:15 16384:16384" ht="16" thickBot="1" x14ac:dyDescent="0.25">
      <c r="A22" s="1" t="s">
        <v>31</v>
      </c>
      <c r="B22" s="72">
        <f>Jan!D29</f>
        <v>3533.4088000000002</v>
      </c>
      <c r="C22" s="72">
        <f t="shared" ref="C22:M22" si="5">C9-C15-C20</f>
        <v>10809.303599999999</v>
      </c>
      <c r="D22" s="72">
        <f>D9-D15-D20</f>
        <v>0</v>
      </c>
      <c r="E22" s="72">
        <f t="shared" si="5"/>
        <v>0</v>
      </c>
      <c r="F22" s="72">
        <f t="shared" si="5"/>
        <v>0</v>
      </c>
      <c r="G22" s="72">
        <f t="shared" si="5"/>
        <v>0</v>
      </c>
      <c r="H22" s="72">
        <f t="shared" si="5"/>
        <v>0</v>
      </c>
      <c r="I22" s="72">
        <f t="shared" si="5"/>
        <v>0</v>
      </c>
      <c r="J22" s="72">
        <f t="shared" si="5"/>
        <v>0</v>
      </c>
      <c r="K22" s="72">
        <f t="shared" si="5"/>
        <v>0</v>
      </c>
      <c r="L22" s="72">
        <f t="shared" si="5"/>
        <v>0</v>
      </c>
      <c r="M22" s="72">
        <f t="shared" si="5"/>
        <v>0</v>
      </c>
      <c r="N22" s="83">
        <f t="shared" si="0"/>
        <v>14342.7124</v>
      </c>
      <c r="O22" s="80">
        <f t="shared" si="1"/>
        <v>7171.3562000000002</v>
      </c>
    </row>
    <row r="23" spans="1:15 16384:16384" x14ac:dyDescent="0.2">
      <c r="A23" s="6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80"/>
      <c r="O23" s="80"/>
    </row>
    <row r="24" spans="1:15 16384:16384" x14ac:dyDescent="0.2">
      <c r="A24" s="65" t="s">
        <v>76</v>
      </c>
      <c r="B24" s="78">
        <f>Jan!G4</f>
        <v>505</v>
      </c>
      <c r="C24" s="78">
        <f>Feb!G4</f>
        <v>-0.02</v>
      </c>
      <c r="D24" s="78">
        <f>Mar!G4</f>
        <v>0</v>
      </c>
      <c r="E24" s="78">
        <f>Apr!G4</f>
        <v>0</v>
      </c>
      <c r="F24" s="78">
        <f>May!G4</f>
        <v>0</v>
      </c>
      <c r="G24" s="78">
        <f>Jun!G4</f>
        <v>0</v>
      </c>
      <c r="H24" s="78">
        <f>Jul!G4</f>
        <v>0</v>
      </c>
      <c r="I24" s="78">
        <f>Aug!G4</f>
        <v>0</v>
      </c>
      <c r="J24" s="78">
        <f>Sep!G4</f>
        <v>0</v>
      </c>
      <c r="K24" s="78">
        <f>Oct!G4</f>
        <v>0</v>
      </c>
      <c r="L24" s="78">
        <f>Nov!G4</f>
        <v>0</v>
      </c>
      <c r="M24" s="78">
        <f>Dec!G4</f>
        <v>0</v>
      </c>
      <c r="N24" s="80">
        <f t="shared" si="0"/>
        <v>504.98</v>
      </c>
      <c r="O24" s="80">
        <f t="shared" si="1"/>
        <v>252.49</v>
      </c>
      <c r="XFD24" s="9"/>
    </row>
    <row r="25" spans="1:15 16384:16384" x14ac:dyDescent="0.2">
      <c r="N25" s="80"/>
      <c r="O25" s="80"/>
    </row>
    <row r="26" spans="1:15 16384:16384" ht="16" thickBot="1" x14ac:dyDescent="0.25">
      <c r="A26" s="6" t="s">
        <v>35</v>
      </c>
      <c r="N26" s="80"/>
      <c r="O26" s="80"/>
    </row>
    <row r="27" spans="1:15 16384:16384" s="68" customFormat="1" x14ac:dyDescent="0.2">
      <c r="A27" s="75" t="s">
        <v>74</v>
      </c>
      <c r="B27" s="76">
        <f>Jan!G8</f>
        <v>700</v>
      </c>
      <c r="C27" s="76">
        <f>Feb!G8</f>
        <v>700</v>
      </c>
      <c r="D27" s="76">
        <f>Mar!G8</f>
        <v>0</v>
      </c>
      <c r="E27" s="76">
        <f>Apr!G8</f>
        <v>0</v>
      </c>
      <c r="F27" s="76">
        <f>May!G8</f>
        <v>0</v>
      </c>
      <c r="G27" s="76">
        <f>Jun!G8</f>
        <v>0</v>
      </c>
      <c r="H27" s="76">
        <f>Jul!G8</f>
        <v>0</v>
      </c>
      <c r="I27" s="76">
        <f>Aug!G8</f>
        <v>0</v>
      </c>
      <c r="J27" s="76">
        <f>Sep!G8</f>
        <v>0</v>
      </c>
      <c r="K27" s="76">
        <f>Oct!G8</f>
        <v>0</v>
      </c>
      <c r="L27" s="76">
        <f>Nov!G8</f>
        <v>0</v>
      </c>
      <c r="M27" s="76">
        <f>Dec!G8</f>
        <v>0</v>
      </c>
      <c r="N27" s="80">
        <f t="shared" si="0"/>
        <v>1400</v>
      </c>
      <c r="O27" s="80">
        <f t="shared" si="1"/>
        <v>700</v>
      </c>
    </row>
    <row r="28" spans="1:15 16384:16384" x14ac:dyDescent="0.2">
      <c r="N28" s="80"/>
      <c r="O28" s="80"/>
    </row>
    <row r="29" spans="1:15 16384:16384" ht="16" thickBot="1" x14ac:dyDescent="0.25">
      <c r="A29" s="6" t="s">
        <v>36</v>
      </c>
      <c r="N29" s="80"/>
      <c r="O29" s="80"/>
    </row>
    <row r="30" spans="1:15 16384:16384" x14ac:dyDescent="0.2">
      <c r="A30" t="s">
        <v>37</v>
      </c>
      <c r="B30" s="2">
        <f>Jan!G11</f>
        <v>15.5</v>
      </c>
      <c r="C30" s="2">
        <f>Feb!G11</f>
        <v>18.752500000000001</v>
      </c>
      <c r="D30" s="2">
        <f>Mar!G11</f>
        <v>0</v>
      </c>
      <c r="E30" s="2">
        <f>Apr!G11</f>
        <v>0</v>
      </c>
      <c r="F30" s="2">
        <f>May!G11</f>
        <v>0</v>
      </c>
      <c r="G30" s="2">
        <f>Jun!G11</f>
        <v>0</v>
      </c>
      <c r="H30" s="2">
        <f>Jul!G11</f>
        <v>0</v>
      </c>
      <c r="I30" s="2">
        <f>Aug!G11</f>
        <v>0</v>
      </c>
      <c r="J30" s="2">
        <f>Sep!G11</f>
        <v>0</v>
      </c>
      <c r="K30" s="2">
        <f>Oct!G11</f>
        <v>0</v>
      </c>
      <c r="L30" s="2">
        <f>Nov!G11</f>
        <v>0</v>
      </c>
      <c r="M30" s="2">
        <f>Dec!G11</f>
        <v>0</v>
      </c>
      <c r="N30" s="80">
        <f t="shared" si="0"/>
        <v>34.252499999999998</v>
      </c>
      <c r="O30" s="80">
        <f t="shared" si="1"/>
        <v>17.126249999999999</v>
      </c>
    </row>
    <row r="31" spans="1:15 16384:16384" x14ac:dyDescent="0.2">
      <c r="A31" s="51" t="s">
        <v>38</v>
      </c>
      <c r="B31" s="2">
        <f>Jan!G12</f>
        <v>21.657499999999999</v>
      </c>
      <c r="C31" s="2">
        <f>Feb!G12</f>
        <v>28.022500000000001</v>
      </c>
      <c r="D31" s="2">
        <f>Mar!G12</f>
        <v>0</v>
      </c>
      <c r="E31" s="2">
        <f>Apr!G12</f>
        <v>0</v>
      </c>
      <c r="F31" s="2">
        <f>May!G12</f>
        <v>0</v>
      </c>
      <c r="G31" s="2">
        <f>Jun!G12</f>
        <v>0</v>
      </c>
      <c r="H31" s="2">
        <f>Jul!G12</f>
        <v>0</v>
      </c>
      <c r="I31" s="2">
        <f>Aug!G12</f>
        <v>0</v>
      </c>
      <c r="J31" s="2">
        <f>Sep!G12</f>
        <v>0</v>
      </c>
      <c r="K31" s="2">
        <f>Oct!G12</f>
        <v>0</v>
      </c>
      <c r="L31" s="2">
        <f>Nov!G12</f>
        <v>0</v>
      </c>
      <c r="M31" s="2">
        <f>Dec!G12</f>
        <v>0</v>
      </c>
      <c r="N31" s="80">
        <f t="shared" si="0"/>
        <v>49.68</v>
      </c>
      <c r="O31" s="80">
        <f t="shared" si="1"/>
        <v>24.84</v>
      </c>
    </row>
    <row r="32" spans="1:15 16384:16384" x14ac:dyDescent="0.2">
      <c r="A32" s="51" t="s">
        <v>39</v>
      </c>
      <c r="B32" s="2">
        <f>Jan!G13</f>
        <v>32.39</v>
      </c>
      <c r="C32" s="2">
        <f>Feb!G13</f>
        <v>30.830000000000002</v>
      </c>
      <c r="D32" s="2">
        <f>Mar!G13</f>
        <v>0</v>
      </c>
      <c r="E32" s="2">
        <f>Apr!G13</f>
        <v>0</v>
      </c>
      <c r="F32" s="2">
        <f>May!G13</f>
        <v>0</v>
      </c>
      <c r="G32" s="2">
        <f>Jun!G13</f>
        <v>0</v>
      </c>
      <c r="H32" s="2">
        <f>Jul!G13</f>
        <v>0</v>
      </c>
      <c r="I32" s="2">
        <f>Aug!G13</f>
        <v>0</v>
      </c>
      <c r="J32" s="2">
        <f>Sep!G13</f>
        <v>0</v>
      </c>
      <c r="K32" s="2">
        <f>Oct!G13</f>
        <v>0</v>
      </c>
      <c r="L32" s="2">
        <f>Nov!G13</f>
        <v>0</v>
      </c>
      <c r="M32" s="2">
        <f>Dec!G13</f>
        <v>0</v>
      </c>
      <c r="N32" s="80">
        <f t="shared" si="0"/>
        <v>63.22</v>
      </c>
      <c r="O32" s="80">
        <f t="shared" si="1"/>
        <v>31.61</v>
      </c>
    </row>
    <row r="33" spans="1:19" ht="16" thickBot="1" x14ac:dyDescent="0.25">
      <c r="A33" s="51" t="s">
        <v>40</v>
      </c>
      <c r="B33" s="58">
        <f>Jan!G14</f>
        <v>0</v>
      </c>
      <c r="C33" s="58">
        <f>Feb!G14</f>
        <v>0</v>
      </c>
      <c r="D33" s="58">
        <f>Mar!G14</f>
        <v>0</v>
      </c>
      <c r="E33" s="58">
        <f>Apr!G14</f>
        <v>0</v>
      </c>
      <c r="F33" s="58">
        <f>May!G14</f>
        <v>0</v>
      </c>
      <c r="G33" s="58">
        <f>Jun!G14</f>
        <v>0</v>
      </c>
      <c r="H33" s="58">
        <f>Jul!G14</f>
        <v>0</v>
      </c>
      <c r="I33" s="58">
        <f>Aug!G14</f>
        <v>0</v>
      </c>
      <c r="J33" s="58">
        <f>Sep!G14</f>
        <v>0</v>
      </c>
      <c r="K33" s="58">
        <f>Oct!G14</f>
        <v>0</v>
      </c>
      <c r="L33" s="58">
        <f>Nov!G14</f>
        <v>0</v>
      </c>
      <c r="M33" s="102">
        <f>Dec!G14</f>
        <v>0</v>
      </c>
      <c r="N33" s="82">
        <f t="shared" si="0"/>
        <v>0</v>
      </c>
      <c r="O33" s="80"/>
    </row>
    <row r="34" spans="1:19" s="68" customFormat="1" x14ac:dyDescent="0.2">
      <c r="A34" s="75" t="s">
        <v>41</v>
      </c>
      <c r="B34" s="76">
        <f>SUM(B30:B33)</f>
        <v>69.547499999999999</v>
      </c>
      <c r="C34" s="76">
        <f t="shared" ref="C34:M34" si="6">SUM(C30:C33)</f>
        <v>77.605000000000004</v>
      </c>
      <c r="D34" s="76">
        <f t="shared" si="6"/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80">
        <f t="shared" si="0"/>
        <v>147.1525</v>
      </c>
      <c r="O34" s="80">
        <f t="shared" si="1"/>
        <v>73.576250000000002</v>
      </c>
    </row>
    <row r="35" spans="1:19" x14ac:dyDescent="0.2">
      <c r="N35" s="80"/>
      <c r="O35" s="80"/>
    </row>
    <row r="36" spans="1:19" ht="16" thickBot="1" x14ac:dyDescent="0.25">
      <c r="A36" s="54" t="s">
        <v>48</v>
      </c>
      <c r="N36" s="80"/>
      <c r="O36" s="80"/>
    </row>
    <row r="37" spans="1:19" x14ac:dyDescent="0.2">
      <c r="A37" s="21" t="s">
        <v>85</v>
      </c>
      <c r="B37" s="9">
        <f>Jan!G18</f>
        <v>497.3</v>
      </c>
      <c r="C37" s="9">
        <f>Feb!G18</f>
        <v>497.3</v>
      </c>
      <c r="D37" s="9">
        <f>Mar!G18</f>
        <v>0</v>
      </c>
      <c r="E37" s="9">
        <f>Apr!G18</f>
        <v>0</v>
      </c>
      <c r="F37" s="9">
        <f>May!G18</f>
        <v>0</v>
      </c>
      <c r="G37" s="9">
        <f>Jun!G18</f>
        <v>0</v>
      </c>
      <c r="H37" s="9">
        <f>Jul!G18</f>
        <v>0</v>
      </c>
      <c r="I37" s="9">
        <f>Aug!G18</f>
        <v>0</v>
      </c>
      <c r="J37" s="9">
        <f>Sep!G18</f>
        <v>0</v>
      </c>
      <c r="K37" s="9">
        <f>Oct!G18</f>
        <v>0</v>
      </c>
      <c r="L37" s="9">
        <f>Nov!G18</f>
        <v>0</v>
      </c>
      <c r="M37" s="9">
        <f>Dec!G18</f>
        <v>0</v>
      </c>
      <c r="N37" s="80">
        <f>SUM(B37:M37)</f>
        <v>994.6</v>
      </c>
      <c r="O37" s="80">
        <f t="shared" si="1"/>
        <v>497.3</v>
      </c>
    </row>
    <row r="38" spans="1:19" x14ac:dyDescent="0.2">
      <c r="A38" s="21" t="s">
        <v>42</v>
      </c>
      <c r="B38" s="9">
        <f>Jan!G19</f>
        <v>320</v>
      </c>
      <c r="C38" s="9">
        <f>Feb!G19</f>
        <v>320</v>
      </c>
      <c r="D38" s="9">
        <f>Mar!G19</f>
        <v>0</v>
      </c>
      <c r="E38" s="9">
        <f>Apr!G19</f>
        <v>0</v>
      </c>
      <c r="F38" s="9">
        <f>May!G19</f>
        <v>0</v>
      </c>
      <c r="G38" s="9">
        <f>Jun!G19</f>
        <v>0</v>
      </c>
      <c r="H38" s="9">
        <f>Jul!G19</f>
        <v>0</v>
      </c>
      <c r="I38" s="9">
        <f>Aug!G19</f>
        <v>0</v>
      </c>
      <c r="J38" s="9">
        <f>Sep!G19</f>
        <v>0</v>
      </c>
      <c r="K38" s="9">
        <f>Oct!G19</f>
        <v>0</v>
      </c>
      <c r="L38" s="9">
        <f>Nov!G19</f>
        <v>0</v>
      </c>
      <c r="M38" s="9">
        <f>Dec!G19</f>
        <v>0</v>
      </c>
      <c r="N38" s="80">
        <f t="shared" si="0"/>
        <v>640</v>
      </c>
      <c r="O38" s="80">
        <f t="shared" si="1"/>
        <v>320</v>
      </c>
    </row>
    <row r="39" spans="1:19" x14ac:dyDescent="0.2">
      <c r="A39" s="21" t="s">
        <v>43</v>
      </c>
      <c r="B39" s="9">
        <f>Jan!G20</f>
        <v>90</v>
      </c>
      <c r="C39" s="9">
        <f>Feb!G20</f>
        <v>90</v>
      </c>
      <c r="D39" s="9">
        <f>Mar!G20</f>
        <v>0</v>
      </c>
      <c r="E39" s="9">
        <f>Apr!G20</f>
        <v>0</v>
      </c>
      <c r="F39" s="9">
        <f>May!G20</f>
        <v>0</v>
      </c>
      <c r="G39" s="9">
        <f>Jun!G20</f>
        <v>0</v>
      </c>
      <c r="H39" s="9">
        <f>Jul!G20</f>
        <v>0</v>
      </c>
      <c r="I39" s="9">
        <f>Aug!G20</f>
        <v>0</v>
      </c>
      <c r="J39" s="9">
        <f>Sep!G20</f>
        <v>0</v>
      </c>
      <c r="K39" s="9">
        <f>Oct!G20</f>
        <v>0</v>
      </c>
      <c r="L39" s="9">
        <f>Nov!G20</f>
        <v>0</v>
      </c>
      <c r="M39" s="9">
        <f>Dec!G20</f>
        <v>0</v>
      </c>
      <c r="N39" s="80">
        <f t="shared" si="0"/>
        <v>180</v>
      </c>
      <c r="O39" s="80">
        <f t="shared" si="1"/>
        <v>90</v>
      </c>
    </row>
    <row r="40" spans="1:19" x14ac:dyDescent="0.2">
      <c r="A40" s="21" t="s">
        <v>75</v>
      </c>
      <c r="B40" s="9">
        <f>Jan!G21</f>
        <v>80</v>
      </c>
      <c r="C40" s="9">
        <f>Feb!G21</f>
        <v>160</v>
      </c>
      <c r="D40" s="9">
        <f>Mar!G21</f>
        <v>0</v>
      </c>
      <c r="E40" s="9">
        <f>Apr!G21</f>
        <v>0</v>
      </c>
      <c r="F40" s="9">
        <f>May!G21</f>
        <v>0</v>
      </c>
      <c r="G40" s="9">
        <f>Jun!G21</f>
        <v>0</v>
      </c>
      <c r="H40" s="9">
        <f>Jul!G21</f>
        <v>0</v>
      </c>
      <c r="I40" s="9">
        <f>Aug!G21</f>
        <v>0</v>
      </c>
      <c r="J40" s="9">
        <f>Sep!G21</f>
        <v>0</v>
      </c>
      <c r="K40" s="9">
        <f>Oct!G21</f>
        <v>0</v>
      </c>
      <c r="L40" s="9">
        <f>Nov!G21</f>
        <v>0</v>
      </c>
      <c r="M40" s="9">
        <f>Dec!G21</f>
        <v>0</v>
      </c>
      <c r="N40" s="80">
        <f t="shared" si="0"/>
        <v>240</v>
      </c>
      <c r="O40" s="80">
        <f t="shared" si="1"/>
        <v>120</v>
      </c>
    </row>
    <row r="41" spans="1:19" x14ac:dyDescent="0.2">
      <c r="A41" s="21" t="s">
        <v>44</v>
      </c>
      <c r="B41" s="9">
        <f>Jan!G22</f>
        <v>52.24</v>
      </c>
      <c r="C41" s="9">
        <f>Feb!G22</f>
        <v>43.29</v>
      </c>
      <c r="D41" s="9">
        <f>Mar!G22</f>
        <v>0</v>
      </c>
      <c r="E41" s="9">
        <f>Apr!G22</f>
        <v>0</v>
      </c>
      <c r="F41" s="9">
        <f>May!G22</f>
        <v>0</v>
      </c>
      <c r="G41" s="9">
        <f>Jun!G22</f>
        <v>0</v>
      </c>
      <c r="H41" s="9">
        <f>Jul!G22</f>
        <v>0</v>
      </c>
      <c r="I41" s="9">
        <f>Aug!G22</f>
        <v>0</v>
      </c>
      <c r="J41" s="9">
        <f>Sep!G22</f>
        <v>0</v>
      </c>
      <c r="K41" s="9">
        <f>Oct!G22</f>
        <v>0</v>
      </c>
      <c r="L41" s="9">
        <f>Nov!G22</f>
        <v>0</v>
      </c>
      <c r="M41" s="9">
        <f>Dec!G22</f>
        <v>0</v>
      </c>
      <c r="N41" s="80">
        <f t="shared" si="0"/>
        <v>95.53</v>
      </c>
      <c r="O41" s="80">
        <f t="shared" si="1"/>
        <v>47.765000000000001</v>
      </c>
    </row>
    <row r="42" spans="1:19" x14ac:dyDescent="0.2">
      <c r="A42" s="21" t="s">
        <v>45</v>
      </c>
      <c r="B42" s="96">
        <f>Jan!G23</f>
        <v>5.4</v>
      </c>
      <c r="C42" s="96">
        <f>Feb!G23</f>
        <v>5.4</v>
      </c>
      <c r="D42" s="96">
        <f>Mar!G23</f>
        <v>0</v>
      </c>
      <c r="E42" s="96">
        <f>Apr!G23</f>
        <v>0</v>
      </c>
      <c r="F42" s="96">
        <f>May!G23</f>
        <v>0</v>
      </c>
      <c r="G42" s="96">
        <f>Jun!G23</f>
        <v>0</v>
      </c>
      <c r="H42" s="96">
        <f>Jul!G23</f>
        <v>0</v>
      </c>
      <c r="I42" s="96">
        <f>Aug!G23</f>
        <v>0</v>
      </c>
      <c r="J42" s="96">
        <f>Sep!G23</f>
        <v>0</v>
      </c>
      <c r="K42" s="96">
        <f>Oct!G23</f>
        <v>0</v>
      </c>
      <c r="L42" s="96">
        <f>Nov!G23</f>
        <v>0</v>
      </c>
      <c r="M42" s="96">
        <f>Dec!G23</f>
        <v>0</v>
      </c>
      <c r="N42" s="80">
        <f t="shared" si="0"/>
        <v>10.8</v>
      </c>
      <c r="O42" s="80">
        <f t="shared" si="1"/>
        <v>5.4</v>
      </c>
    </row>
    <row r="43" spans="1:19" x14ac:dyDescent="0.2">
      <c r="A43" s="29" t="s">
        <v>79</v>
      </c>
      <c r="B43" s="9">
        <f>Jan!G24</f>
        <v>10.81</v>
      </c>
      <c r="C43" s="9">
        <f>Feb!G24</f>
        <v>10.81</v>
      </c>
      <c r="D43" s="9">
        <f>Mar!G24</f>
        <v>0</v>
      </c>
      <c r="E43" s="9">
        <f>Apr!G24</f>
        <v>0</v>
      </c>
      <c r="F43" s="9">
        <f>May!G24</f>
        <v>0</v>
      </c>
      <c r="G43" s="9">
        <f>Jun!G24</f>
        <v>0</v>
      </c>
      <c r="H43" s="9">
        <f>Jul!G24</f>
        <v>0</v>
      </c>
      <c r="I43" s="9">
        <f>Aug!G24</f>
        <v>0</v>
      </c>
      <c r="J43" s="9">
        <f>Sep!G24</f>
        <v>0</v>
      </c>
      <c r="K43" s="9">
        <f>Oct!G24</f>
        <v>0</v>
      </c>
      <c r="L43" s="9">
        <f>Nov!G24</f>
        <v>0</v>
      </c>
      <c r="M43" s="9">
        <f>Dec!G24</f>
        <v>0</v>
      </c>
      <c r="N43" s="80">
        <f>SUM(B43:M43)</f>
        <v>21.62</v>
      </c>
      <c r="O43" s="80">
        <f t="shared" si="1"/>
        <v>10.81</v>
      </c>
    </row>
    <row r="44" spans="1:19" s="68" customFormat="1" ht="16" thickBot="1" x14ac:dyDescent="0.25">
      <c r="A44" s="73" t="s">
        <v>50</v>
      </c>
      <c r="B44" s="74">
        <f>SUM(B37:B43)</f>
        <v>1055.75</v>
      </c>
      <c r="C44" s="74">
        <f t="shared" ref="C44:M44" si="7">SUM(C37:C43)</f>
        <v>1126.8</v>
      </c>
      <c r="D44" s="74">
        <f>SUM(D37:D43)</f>
        <v>0</v>
      </c>
      <c r="E44" s="74">
        <f t="shared" si="7"/>
        <v>0</v>
      </c>
      <c r="F44" s="74">
        <f t="shared" si="7"/>
        <v>0</v>
      </c>
      <c r="G44" s="74">
        <f t="shared" si="7"/>
        <v>0</v>
      </c>
      <c r="H44" s="74">
        <f t="shared" si="7"/>
        <v>0</v>
      </c>
      <c r="I44" s="74">
        <f t="shared" si="7"/>
        <v>0</v>
      </c>
      <c r="J44" s="74">
        <f t="shared" si="7"/>
        <v>0</v>
      </c>
      <c r="K44" s="74">
        <f t="shared" si="7"/>
        <v>0</v>
      </c>
      <c r="L44" s="74">
        <f t="shared" si="7"/>
        <v>0</v>
      </c>
      <c r="M44" s="74">
        <f t="shared" si="7"/>
        <v>0</v>
      </c>
      <c r="N44" s="82">
        <f t="shared" si="0"/>
        <v>2182.5500000000002</v>
      </c>
      <c r="O44" s="80">
        <f t="shared" si="1"/>
        <v>1091.2750000000001</v>
      </c>
    </row>
    <row r="45" spans="1:19" s="68" customFormat="1" x14ac:dyDescent="0.2">
      <c r="A45" s="71" t="s">
        <v>49</v>
      </c>
      <c r="B45" s="67">
        <f t="shared" ref="B45:M45" si="8">SUM(B27,B34,B44)</f>
        <v>1825.2975000000001</v>
      </c>
      <c r="C45" s="67">
        <f>SUM(C27,C34,C44)</f>
        <v>1904.405</v>
      </c>
      <c r="D45" s="67">
        <f t="shared" si="8"/>
        <v>0</v>
      </c>
      <c r="E45" s="67">
        <f t="shared" si="8"/>
        <v>0</v>
      </c>
      <c r="F45" s="67">
        <f t="shared" si="8"/>
        <v>0</v>
      </c>
      <c r="G45" s="67">
        <f t="shared" si="8"/>
        <v>0</v>
      </c>
      <c r="H45" s="67">
        <f t="shared" si="8"/>
        <v>0</v>
      </c>
      <c r="I45" s="67">
        <f t="shared" si="8"/>
        <v>0</v>
      </c>
      <c r="J45" s="67">
        <f t="shared" si="8"/>
        <v>0</v>
      </c>
      <c r="K45" s="67">
        <f t="shared" si="8"/>
        <v>0</v>
      </c>
      <c r="L45" s="67">
        <f t="shared" si="8"/>
        <v>0</v>
      </c>
      <c r="M45" s="67">
        <f t="shared" si="8"/>
        <v>0</v>
      </c>
      <c r="N45" s="80">
        <f t="shared" si="0"/>
        <v>3729.7025000000003</v>
      </c>
      <c r="O45" s="80">
        <f t="shared" si="1"/>
        <v>1864.8512500000002</v>
      </c>
    </row>
    <row r="46" spans="1:19" x14ac:dyDescent="0.2">
      <c r="N46" s="80"/>
      <c r="O46" s="80"/>
    </row>
    <row r="47" spans="1:19" ht="16" thickBot="1" x14ac:dyDescent="0.25">
      <c r="A47" s="6" t="s">
        <v>52</v>
      </c>
      <c r="N47" s="80"/>
      <c r="O47" s="80"/>
      <c r="Q47" t="s">
        <v>160</v>
      </c>
      <c r="R47" t="s">
        <v>161</v>
      </c>
      <c r="S47" t="s">
        <v>162</v>
      </c>
    </row>
    <row r="48" spans="1:19" x14ac:dyDescent="0.2">
      <c r="A48" s="10" t="s">
        <v>47</v>
      </c>
      <c r="B48" s="9">
        <f>Jan!J11</f>
        <v>132.76</v>
      </c>
      <c r="C48" s="9">
        <f>Feb!J11</f>
        <v>68.900000000000006</v>
      </c>
      <c r="D48" s="9">
        <f>Mar!J11</f>
        <v>0</v>
      </c>
      <c r="E48" s="9">
        <f>Apr!J11</f>
        <v>0</v>
      </c>
      <c r="F48" s="9">
        <f>May!J11</f>
        <v>0</v>
      </c>
      <c r="G48" s="9">
        <f>Jun!J11</f>
        <v>0</v>
      </c>
      <c r="H48" s="9">
        <f>Jul!J11</f>
        <v>0</v>
      </c>
      <c r="I48" s="9">
        <f>Aug!J11</f>
        <v>0</v>
      </c>
      <c r="J48" s="9">
        <f>Sep!J11</f>
        <v>0</v>
      </c>
      <c r="K48" s="9">
        <f>Oct!J11</f>
        <v>0</v>
      </c>
      <c r="L48" s="9">
        <f>Nov!J11</f>
        <v>0</v>
      </c>
      <c r="M48" s="9">
        <f>Dec!J11</f>
        <v>0</v>
      </c>
      <c r="N48" s="80">
        <f t="shared" si="0"/>
        <v>201.66</v>
      </c>
      <c r="O48" s="80">
        <f t="shared" si="1"/>
        <v>100.83</v>
      </c>
      <c r="P48" s="9"/>
      <c r="Q48" s="9">
        <v>120.63333333333333</v>
      </c>
      <c r="R48" s="2">
        <v>150</v>
      </c>
      <c r="S48" s="2">
        <v>150</v>
      </c>
    </row>
    <row r="49" spans="1:19" x14ac:dyDescent="0.2">
      <c r="A49" s="10" t="s">
        <v>46</v>
      </c>
      <c r="B49" s="9">
        <f>Jan!J12</f>
        <v>123.29999999999998</v>
      </c>
      <c r="C49" s="9">
        <f>Feb!J12</f>
        <v>111.86</v>
      </c>
      <c r="D49" s="9">
        <f>Mar!J12</f>
        <v>0</v>
      </c>
      <c r="E49" s="9">
        <f>Apr!J12</f>
        <v>0</v>
      </c>
      <c r="F49" s="9">
        <f>May!J12</f>
        <v>0</v>
      </c>
      <c r="G49" s="9">
        <f>Jun!J12</f>
        <v>0</v>
      </c>
      <c r="H49" s="9">
        <f>Jul!J12</f>
        <v>0</v>
      </c>
      <c r="I49" s="9">
        <f>Aug!J12</f>
        <v>0</v>
      </c>
      <c r="J49" s="9">
        <f>Sep!J12</f>
        <v>0</v>
      </c>
      <c r="K49" s="9">
        <f>Oct!J12</f>
        <v>0</v>
      </c>
      <c r="L49" s="9">
        <f>Nov!J12</f>
        <v>0</v>
      </c>
      <c r="M49" s="9">
        <f>Dec!J12</f>
        <v>0</v>
      </c>
      <c r="N49" s="80">
        <f t="shared" si="0"/>
        <v>235.15999999999997</v>
      </c>
      <c r="O49" s="80">
        <f t="shared" si="1"/>
        <v>117.57999999999998</v>
      </c>
      <c r="P49" s="9"/>
      <c r="Q49" s="9">
        <v>121.87833333333333</v>
      </c>
      <c r="R49" s="2">
        <v>100</v>
      </c>
      <c r="S49" s="2">
        <v>100</v>
      </c>
    </row>
    <row r="50" spans="1:19" x14ac:dyDescent="0.2">
      <c r="A50" s="10" t="s">
        <v>53</v>
      </c>
      <c r="B50" s="9">
        <f>Jan!J13</f>
        <v>309.15000000000003</v>
      </c>
      <c r="C50" s="9">
        <f>Feb!J13</f>
        <v>263.70000000000005</v>
      </c>
      <c r="D50" s="9">
        <f>Mar!J13</f>
        <v>0</v>
      </c>
      <c r="E50" s="9">
        <f>Apr!J13</f>
        <v>0</v>
      </c>
      <c r="F50" s="9">
        <f>May!J13</f>
        <v>0</v>
      </c>
      <c r="G50" s="9">
        <f>Jun!J13</f>
        <v>0</v>
      </c>
      <c r="H50" s="9">
        <f>Jul!J13</f>
        <v>0</v>
      </c>
      <c r="I50" s="9">
        <f>Aug!J13</f>
        <v>0</v>
      </c>
      <c r="J50" s="9">
        <f>Sep!J13</f>
        <v>0</v>
      </c>
      <c r="K50" s="9">
        <f>Oct!J13</f>
        <v>0</v>
      </c>
      <c r="L50" s="9">
        <f>Nov!J13</f>
        <v>0</v>
      </c>
      <c r="M50" s="9">
        <f>Dec!J13</f>
        <v>0</v>
      </c>
      <c r="N50" s="80">
        <f t="shared" si="0"/>
        <v>572.85000000000014</v>
      </c>
      <c r="O50" s="80">
        <f t="shared" si="1"/>
        <v>286.42500000000007</v>
      </c>
      <c r="P50" s="9"/>
      <c r="Q50" s="9">
        <v>231.54666666666665</v>
      </c>
      <c r="R50" s="2">
        <v>200</v>
      </c>
      <c r="S50" s="2">
        <v>250</v>
      </c>
    </row>
    <row r="51" spans="1:19" x14ac:dyDescent="0.2">
      <c r="A51" s="10" t="s">
        <v>54</v>
      </c>
      <c r="B51" s="9">
        <f>Jan!J14</f>
        <v>121.82</v>
      </c>
      <c r="C51" s="9">
        <f>Feb!J14</f>
        <v>184.41</v>
      </c>
      <c r="D51" s="9">
        <f>Mar!J14</f>
        <v>0</v>
      </c>
      <c r="E51" s="9">
        <f>Apr!J14</f>
        <v>0</v>
      </c>
      <c r="F51" s="9">
        <f>May!J14</f>
        <v>0</v>
      </c>
      <c r="G51" s="9">
        <f>Jun!J14</f>
        <v>0</v>
      </c>
      <c r="H51" s="9">
        <f>Jul!J14</f>
        <v>0</v>
      </c>
      <c r="I51" s="9">
        <f>Aug!J14</f>
        <v>0</v>
      </c>
      <c r="J51" s="9">
        <f>Sep!J14</f>
        <v>0</v>
      </c>
      <c r="K51" s="9">
        <f>Oct!J14</f>
        <v>0</v>
      </c>
      <c r="L51" s="9">
        <f>Nov!J14</f>
        <v>0</v>
      </c>
      <c r="M51" s="9">
        <f>Dec!J14</f>
        <v>0</v>
      </c>
      <c r="N51" s="80">
        <f t="shared" si="0"/>
        <v>306.23</v>
      </c>
      <c r="O51" s="80">
        <f t="shared" si="1"/>
        <v>153.11500000000001</v>
      </c>
      <c r="P51" s="9"/>
      <c r="Q51" s="9">
        <v>151.54249999999999</v>
      </c>
      <c r="R51" s="2">
        <v>150</v>
      </c>
      <c r="S51" s="2">
        <v>150</v>
      </c>
    </row>
    <row r="52" spans="1:19" x14ac:dyDescent="0.2">
      <c r="A52" s="10" t="s">
        <v>55</v>
      </c>
      <c r="B52" s="9">
        <f>Jan!J15</f>
        <v>84.039999999999992</v>
      </c>
      <c r="C52" s="9">
        <f>Feb!J15</f>
        <v>137.32999999999998</v>
      </c>
      <c r="D52" s="9">
        <f>Mar!J15</f>
        <v>0</v>
      </c>
      <c r="E52" s="9">
        <f>Apr!J15</f>
        <v>0</v>
      </c>
      <c r="F52" s="9">
        <f>May!J15</f>
        <v>0</v>
      </c>
      <c r="G52" s="9">
        <f>Jun!J15</f>
        <v>0</v>
      </c>
      <c r="H52" s="9">
        <f>Jul!J15</f>
        <v>0</v>
      </c>
      <c r="I52" s="9">
        <f>Aug!J15</f>
        <v>0</v>
      </c>
      <c r="J52" s="9">
        <f>Sep!J15</f>
        <v>0</v>
      </c>
      <c r="K52" s="9">
        <f>Oct!J15</f>
        <v>0</v>
      </c>
      <c r="L52" s="9">
        <f>Nov!J15</f>
        <v>0</v>
      </c>
      <c r="M52" s="9">
        <f>Dec!J15</f>
        <v>0</v>
      </c>
      <c r="N52" s="80">
        <f t="shared" si="0"/>
        <v>221.36999999999998</v>
      </c>
      <c r="O52" s="80">
        <f t="shared" si="1"/>
        <v>110.68499999999999</v>
      </c>
      <c r="P52" s="9"/>
      <c r="Q52" s="9">
        <v>108.77749999999999</v>
      </c>
      <c r="R52" s="2">
        <v>100</v>
      </c>
      <c r="S52" s="2">
        <v>100</v>
      </c>
    </row>
    <row r="53" spans="1:19" x14ac:dyDescent="0.2">
      <c r="A53" s="10" t="s">
        <v>56</v>
      </c>
      <c r="B53" s="96">
        <f>Jan!J16</f>
        <v>367.37</v>
      </c>
      <c r="C53" s="96">
        <f>Feb!J16</f>
        <v>248.06</v>
      </c>
      <c r="D53" s="96">
        <f>Mar!J16</f>
        <v>0</v>
      </c>
      <c r="E53" s="96">
        <f>Apr!J16</f>
        <v>0</v>
      </c>
      <c r="F53" s="96">
        <f>May!J16</f>
        <v>0</v>
      </c>
      <c r="G53" s="96">
        <f>Jun!J16</f>
        <v>0</v>
      </c>
      <c r="H53" s="96">
        <f>Jul!J16</f>
        <v>0</v>
      </c>
      <c r="I53" s="96">
        <f>Aug!J16</f>
        <v>0</v>
      </c>
      <c r="J53" s="96">
        <f>Sep!J16</f>
        <v>0</v>
      </c>
      <c r="K53" s="96">
        <f>Oct!J16</f>
        <v>0</v>
      </c>
      <c r="L53" s="96">
        <f>Nov!J16</f>
        <v>0</v>
      </c>
      <c r="M53" s="97">
        <f>Dec!J16</f>
        <v>0</v>
      </c>
      <c r="N53" s="80">
        <f t="shared" si="0"/>
        <v>615.43000000000006</v>
      </c>
      <c r="O53" s="80">
        <f t="shared" si="1"/>
        <v>307.71500000000003</v>
      </c>
      <c r="P53" s="9"/>
      <c r="Q53" s="9">
        <v>447.69333333333338</v>
      </c>
      <c r="R53" s="2">
        <v>300</v>
      </c>
      <c r="S53" s="2">
        <v>300</v>
      </c>
    </row>
    <row r="54" spans="1:19" x14ac:dyDescent="0.2">
      <c r="A54" s="66" t="s">
        <v>87</v>
      </c>
      <c r="B54" s="9">
        <f>Jan!J17</f>
        <v>9.5</v>
      </c>
      <c r="C54" s="9">
        <f>Feb!J17</f>
        <v>11.58</v>
      </c>
      <c r="D54" s="9">
        <f>Mar!J17</f>
        <v>0</v>
      </c>
      <c r="E54" s="9">
        <f>Apr!J17</f>
        <v>0</v>
      </c>
      <c r="F54" s="9">
        <f>May!J17</f>
        <v>0</v>
      </c>
      <c r="G54" s="9">
        <f>Jun!J17</f>
        <v>0</v>
      </c>
      <c r="H54" s="9">
        <f>Jul!J17</f>
        <v>0</v>
      </c>
      <c r="I54" s="9">
        <f>Aug!J17</f>
        <v>0</v>
      </c>
      <c r="J54" s="9">
        <f>Sep!J17</f>
        <v>0</v>
      </c>
      <c r="K54" s="9">
        <f>Oct!J17</f>
        <v>0</v>
      </c>
      <c r="L54" s="9">
        <f>Nov!J17</f>
        <v>0</v>
      </c>
      <c r="M54" s="9">
        <f>Dec!J17</f>
        <v>0</v>
      </c>
      <c r="N54" s="80">
        <f>SUM(B54:M54)</f>
        <v>21.08</v>
      </c>
      <c r="O54" s="80">
        <f t="shared" si="1"/>
        <v>10.54</v>
      </c>
      <c r="P54" s="9"/>
      <c r="Q54" s="9">
        <v>8.3541666666666661</v>
      </c>
      <c r="R54" s="2">
        <v>5</v>
      </c>
      <c r="S54" s="2">
        <v>10</v>
      </c>
    </row>
    <row r="55" spans="1:19" ht="16" thickBot="1" x14ac:dyDescent="0.25">
      <c r="A55" s="98" t="s">
        <v>86</v>
      </c>
      <c r="B55" s="61">
        <f>Jan!J18</f>
        <v>484.28</v>
      </c>
      <c r="C55" s="61">
        <f>Feb!J18</f>
        <v>280.2</v>
      </c>
      <c r="D55" s="61">
        <f>Mar!J18</f>
        <v>0</v>
      </c>
      <c r="E55" s="61">
        <f>Apr!J18</f>
        <v>0</v>
      </c>
      <c r="F55" s="61">
        <f>May!J18</f>
        <v>0</v>
      </c>
      <c r="G55" s="61">
        <f>Jun!J18</f>
        <v>0</v>
      </c>
      <c r="H55" s="61">
        <f>Jul!J18</f>
        <v>0</v>
      </c>
      <c r="I55" s="61">
        <f>Aug!J18</f>
        <v>0</v>
      </c>
      <c r="J55" s="61">
        <f>Sep!J18</f>
        <v>0</v>
      </c>
      <c r="K55" s="61">
        <f>Oct!J18</f>
        <v>0</v>
      </c>
      <c r="L55" s="61">
        <f>Nov!J18</f>
        <v>0</v>
      </c>
      <c r="M55" s="99">
        <f>Dec!J18</f>
        <v>0</v>
      </c>
      <c r="N55" s="82">
        <f>SUM(B55:M55)</f>
        <v>764.48</v>
      </c>
      <c r="O55" s="80">
        <f t="shared" si="1"/>
        <v>382.24</v>
      </c>
      <c r="P55" s="9"/>
      <c r="Q55" s="9">
        <v>210.81833333333336</v>
      </c>
      <c r="R55" s="2">
        <v>200</v>
      </c>
      <c r="S55" s="2">
        <v>200</v>
      </c>
    </row>
    <row r="56" spans="1:19" s="68" customFormat="1" x14ac:dyDescent="0.2">
      <c r="A56" s="73" t="s">
        <v>57</v>
      </c>
      <c r="B56" s="67">
        <f>SUM(B48:B55)</f>
        <v>1632.22</v>
      </c>
      <c r="C56" s="67">
        <f>SUM(C48:C55)</f>
        <v>1306.04</v>
      </c>
      <c r="D56" s="67">
        <f t="shared" ref="D56:M56" si="9">SUM(D48:D55)</f>
        <v>0</v>
      </c>
      <c r="E56" s="67">
        <f t="shared" si="9"/>
        <v>0</v>
      </c>
      <c r="F56" s="67">
        <f t="shared" si="9"/>
        <v>0</v>
      </c>
      <c r="G56" s="67">
        <f t="shared" si="9"/>
        <v>0</v>
      </c>
      <c r="H56" s="67">
        <f t="shared" si="9"/>
        <v>0</v>
      </c>
      <c r="I56" s="67">
        <f t="shared" si="9"/>
        <v>0</v>
      </c>
      <c r="J56" s="67">
        <f t="shared" si="9"/>
        <v>0</v>
      </c>
      <c r="K56" s="67">
        <f t="shared" si="9"/>
        <v>0</v>
      </c>
      <c r="L56" s="67">
        <f t="shared" si="9"/>
        <v>0</v>
      </c>
      <c r="M56" s="67">
        <f t="shared" si="9"/>
        <v>0</v>
      </c>
      <c r="N56" s="80">
        <f t="shared" si="0"/>
        <v>2938.26</v>
      </c>
      <c r="O56" s="80">
        <f t="shared" si="1"/>
        <v>1469.13</v>
      </c>
      <c r="Q56" s="67">
        <v>1401.2441666666671</v>
      </c>
      <c r="R56" s="76">
        <f>SUM(R48:R55)</f>
        <v>1205</v>
      </c>
      <c r="S56" s="76">
        <f>SUM(S48:S55)</f>
        <v>1260</v>
      </c>
    </row>
    <row r="57" spans="1:19" ht="16" thickBo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2"/>
      <c r="O57" s="80"/>
    </row>
    <row r="58" spans="1:19" s="69" customFormat="1" ht="16" thickBot="1" x14ac:dyDescent="0.25">
      <c r="A58" s="45" t="s">
        <v>58</v>
      </c>
      <c r="B58" s="77">
        <f>SUM(B45,B56)</f>
        <v>3457.5174999999999</v>
      </c>
      <c r="C58" s="77">
        <f t="shared" ref="C58:M58" si="10">SUM(C45,C56)</f>
        <v>3210.4449999999997</v>
      </c>
      <c r="D58" s="77">
        <f t="shared" si="10"/>
        <v>0</v>
      </c>
      <c r="E58" s="77">
        <f t="shared" si="10"/>
        <v>0</v>
      </c>
      <c r="F58" s="77">
        <f t="shared" si="10"/>
        <v>0</v>
      </c>
      <c r="G58" s="77">
        <f t="shared" si="10"/>
        <v>0</v>
      </c>
      <c r="H58" s="77">
        <f t="shared" si="10"/>
        <v>0</v>
      </c>
      <c r="I58" s="77">
        <f t="shared" si="10"/>
        <v>0</v>
      </c>
      <c r="J58" s="77">
        <f t="shared" si="10"/>
        <v>0</v>
      </c>
      <c r="K58" s="77">
        <f t="shared" si="10"/>
        <v>0</v>
      </c>
      <c r="L58" s="77">
        <f t="shared" si="10"/>
        <v>0</v>
      </c>
      <c r="M58" s="77">
        <f t="shared" si="10"/>
        <v>0</v>
      </c>
      <c r="N58" s="85">
        <f t="shared" si="0"/>
        <v>6667.9624999999996</v>
      </c>
      <c r="O58" s="80">
        <f t="shared" si="1"/>
        <v>3333.9812499999998</v>
      </c>
      <c r="P58" s="60"/>
    </row>
    <row r="59" spans="1:19" x14ac:dyDescent="0.2">
      <c r="N59" s="80"/>
      <c r="O59" s="80"/>
    </row>
    <row r="60" spans="1:19" x14ac:dyDescent="0.2">
      <c r="A60" t="s">
        <v>59</v>
      </c>
      <c r="B60" s="9">
        <f>B22-B58+B24+B2</f>
        <v>19476.7513</v>
      </c>
      <c r="C60" s="9">
        <f t="shared" ref="C60:M60" si="11">C22+C24-C58+B60</f>
        <v>27075.589899999999</v>
      </c>
      <c r="D60" s="9">
        <f t="shared" si="11"/>
        <v>27075.589899999999</v>
      </c>
      <c r="E60" s="9">
        <f t="shared" si="11"/>
        <v>27075.589899999999</v>
      </c>
      <c r="F60" s="9">
        <f t="shared" si="11"/>
        <v>27075.589899999999</v>
      </c>
      <c r="G60" s="9">
        <f t="shared" si="11"/>
        <v>27075.589899999999</v>
      </c>
      <c r="H60" s="9">
        <f t="shared" si="11"/>
        <v>27075.589899999999</v>
      </c>
      <c r="I60" s="9">
        <f t="shared" si="11"/>
        <v>27075.589899999999</v>
      </c>
      <c r="J60" s="9">
        <f t="shared" si="11"/>
        <v>27075.589899999999</v>
      </c>
      <c r="K60" s="9">
        <f t="shared" si="11"/>
        <v>27075.589899999999</v>
      </c>
      <c r="L60" s="9">
        <f t="shared" si="11"/>
        <v>27075.589899999999</v>
      </c>
      <c r="M60" s="9">
        <f t="shared" si="11"/>
        <v>27075.589899999999</v>
      </c>
      <c r="N60" s="81">
        <f>M60</f>
        <v>27075.589899999999</v>
      </c>
      <c r="O60" s="80">
        <f t="shared" si="1"/>
        <v>26442.353350000001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102</v>
      </c>
      <c r="F2" t="s">
        <v>32</v>
      </c>
      <c r="G2" s="2">
        <f>Jul!J28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103</v>
      </c>
      <c r="F2" t="s">
        <v>32</v>
      </c>
      <c r="G2" s="2">
        <f>Aug!J28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104</v>
      </c>
      <c r="F2" t="s">
        <v>32</v>
      </c>
      <c r="G2" s="2">
        <f>Sep!J28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105</v>
      </c>
      <c r="F2" t="s">
        <v>32</v>
      </c>
      <c r="G2" s="2">
        <f>Oct!J28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106</v>
      </c>
      <c r="F2" t="s">
        <v>32</v>
      </c>
      <c r="G2" s="2">
        <f>Nov!J28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04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83</v>
      </c>
      <c r="B1" s="9">
        <f>Jan!J30+Feb!J30+Mar!J30+Apr!J30+May!J30+Jun!J30+Jul!J30+Aug!J30+Sep!J30+Oct!J30+Nov!J30+'Monthly Breakdown'!B2-25000</f>
        <v>2075.5899000000027</v>
      </c>
      <c r="G1" s="106" t="s">
        <v>96</v>
      </c>
    </row>
    <row r="2" spans="1:7" ht="16" thickBot="1" x14ac:dyDescent="0.25">
      <c r="A2" s="2"/>
      <c r="G2" s="107">
        <f>SUM(G4:G11)</f>
        <v>65</v>
      </c>
    </row>
    <row r="3" spans="1:7" x14ac:dyDescent="0.2">
      <c r="C3" s="103" t="s">
        <v>80</v>
      </c>
      <c r="D3" s="105" t="s">
        <v>62</v>
      </c>
      <c r="E3" s="103" t="s">
        <v>64</v>
      </c>
      <c r="F3" s="103" t="s">
        <v>81</v>
      </c>
      <c r="G3" s="103" t="s">
        <v>82</v>
      </c>
    </row>
    <row r="4" spans="1:7" x14ac:dyDescent="0.2">
      <c r="C4" t="s">
        <v>101</v>
      </c>
      <c r="D4" s="104">
        <v>42842</v>
      </c>
      <c r="E4" s="2">
        <v>150</v>
      </c>
      <c r="F4">
        <v>10</v>
      </c>
      <c r="G4" s="9">
        <f>E4/F4</f>
        <v>15</v>
      </c>
    </row>
    <row r="5" spans="1:7" x14ac:dyDescent="0.2">
      <c r="C5" t="s">
        <v>98</v>
      </c>
      <c r="D5" s="104">
        <v>42842</v>
      </c>
      <c r="E5" s="2">
        <v>500</v>
      </c>
      <c r="F5">
        <v>10</v>
      </c>
      <c r="G5" s="9">
        <f>E5/F5</f>
        <v>50</v>
      </c>
    </row>
    <row r="6" spans="1:7" x14ac:dyDescent="0.2">
      <c r="E6" s="2"/>
      <c r="G6" s="9"/>
    </row>
    <row r="7" spans="1:7" x14ac:dyDescent="0.2">
      <c r="E7" s="2"/>
      <c r="G7" s="9"/>
    </row>
    <row r="8" spans="1:7" x14ac:dyDescent="0.2">
      <c r="G8" s="9"/>
    </row>
    <row r="9" spans="1:7" x14ac:dyDescent="0.2">
      <c r="G9" s="9"/>
    </row>
    <row r="10" spans="1:7" x14ac:dyDescent="0.2">
      <c r="G10" s="9"/>
    </row>
    <row r="11" spans="1:7" x14ac:dyDescent="0.2">
      <c r="G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G5" sqref="G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.5" bestFit="1" customWidth="1"/>
    <col min="14" max="14" width="9.5" style="9" bestFit="1" customWidth="1"/>
    <col min="15" max="15" width="2.6640625" customWidth="1"/>
    <col min="16" max="16" width="11.5" style="59" customWidth="1"/>
    <col min="17" max="17" width="12.66406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16</v>
      </c>
      <c r="F2" t="s">
        <v>32</v>
      </c>
      <c r="G2" s="2">
        <f>'Monthly Breakdown'!B2</f>
        <v>18895.86</v>
      </c>
      <c r="I2" s="9"/>
    </row>
    <row r="3" spans="2:38" x14ac:dyDescent="0.2">
      <c r="B3" s="10" t="s">
        <v>23</v>
      </c>
      <c r="C3" s="9">
        <f>C6*24</f>
        <v>64887.12</v>
      </c>
      <c r="F3" s="109" t="s">
        <v>31</v>
      </c>
      <c r="G3" s="4">
        <f>D29</f>
        <v>3533.4088000000002</v>
      </c>
    </row>
    <row r="4" spans="2:38" x14ac:dyDescent="0.2">
      <c r="F4" t="s">
        <v>33</v>
      </c>
      <c r="G4" s="2">
        <f>80-1321+100+519+1020+107</f>
        <v>505</v>
      </c>
      <c r="I4" t="s">
        <v>95</v>
      </c>
      <c r="J4" s="9">
        <f>SUM(N4,R4,V4,Z4,AD4,AH4)</f>
        <v>-188.44</v>
      </c>
      <c r="L4" s="126" t="s">
        <v>88</v>
      </c>
      <c r="M4" s="126"/>
      <c r="N4" s="9">
        <f>150-N8</f>
        <v>17.240000000000009</v>
      </c>
      <c r="P4" s="126" t="s">
        <v>89</v>
      </c>
      <c r="Q4" s="126"/>
      <c r="R4" s="9">
        <f>100-R8</f>
        <v>-23.299999999999983</v>
      </c>
      <c r="T4" s="126" t="s">
        <v>90</v>
      </c>
      <c r="U4" s="126"/>
      <c r="V4" s="9">
        <f>200-V8</f>
        <v>-109.15000000000003</v>
      </c>
      <c r="X4" s="126" t="s">
        <v>91</v>
      </c>
      <c r="Y4" s="126"/>
      <c r="Z4" s="9">
        <f>100-Z8</f>
        <v>-21.819999999999993</v>
      </c>
      <c r="AB4" s="126" t="s">
        <v>92</v>
      </c>
      <c r="AC4" s="126"/>
      <c r="AD4" s="9">
        <f>100-AD8</f>
        <v>15.960000000000008</v>
      </c>
      <c r="AF4" s="126" t="s">
        <v>93</v>
      </c>
      <c r="AG4" s="126"/>
      <c r="AH4" s="9">
        <f>300-AH8</f>
        <v>-67.37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22934.268800000002</v>
      </c>
      <c r="AJ5" s="59"/>
      <c r="AL5" s="9"/>
    </row>
    <row r="6" spans="2:38" ht="16" thickBot="1" x14ac:dyDescent="0.25">
      <c r="B6" s="21" t="s">
        <v>19</v>
      </c>
      <c r="C6" s="90">
        <v>2703.63</v>
      </c>
      <c r="D6" s="22">
        <v>2703.63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2703.63</v>
      </c>
      <c r="D8" s="24">
        <f>D6+D7</f>
        <v>2703.63</v>
      </c>
      <c r="F8" s="48" t="s">
        <v>74</v>
      </c>
      <c r="G8" s="91">
        <v>700</v>
      </c>
      <c r="H8" s="10"/>
      <c r="I8" s="10"/>
      <c r="J8" s="49"/>
      <c r="L8" s="132" t="s">
        <v>66</v>
      </c>
      <c r="M8" s="132"/>
      <c r="N8" s="60">
        <f>SUM(N10:N50)</f>
        <v>132.76</v>
      </c>
      <c r="P8" s="132" t="s">
        <v>66</v>
      </c>
      <c r="Q8" s="132"/>
      <c r="R8" s="60">
        <f>SUM(R10:R50)</f>
        <v>123.29999999999998</v>
      </c>
      <c r="T8" s="132" t="s">
        <v>66</v>
      </c>
      <c r="U8" s="132"/>
      <c r="V8" s="60">
        <f>SUM(V10:V50)</f>
        <v>309.15000000000003</v>
      </c>
      <c r="X8" s="132" t="s">
        <v>66</v>
      </c>
      <c r="Y8" s="132"/>
      <c r="Z8" s="60">
        <f>SUM(Z10:Z50)</f>
        <v>121.82</v>
      </c>
      <c r="AB8" s="132" t="s">
        <v>66</v>
      </c>
      <c r="AC8" s="132"/>
      <c r="AD8" s="60">
        <f>SUM(AD10:AD50)</f>
        <v>84.039999999999992</v>
      </c>
      <c r="AF8" s="132" t="s">
        <v>66</v>
      </c>
      <c r="AG8" s="132"/>
      <c r="AH8" s="60">
        <f>SUM(AH10:AH50)</f>
        <v>367.37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5407.26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L10" s="59">
        <v>42740</v>
      </c>
      <c r="M10" t="s">
        <v>122</v>
      </c>
      <c r="N10" s="89">
        <v>36.159999999999997</v>
      </c>
      <c r="P10" s="59">
        <v>42736</v>
      </c>
      <c r="Q10" t="s">
        <v>111</v>
      </c>
      <c r="R10" s="9">
        <v>15</v>
      </c>
      <c r="T10" s="59">
        <v>42736</v>
      </c>
      <c r="U10" t="s">
        <v>112</v>
      </c>
      <c r="V10" s="89">
        <v>10</v>
      </c>
      <c r="X10" s="59">
        <v>42736</v>
      </c>
      <c r="Y10" t="s">
        <v>112</v>
      </c>
      <c r="Z10" s="89">
        <v>9.2799999999999994</v>
      </c>
      <c r="AB10" s="59">
        <v>42738</v>
      </c>
      <c r="AC10" t="s">
        <v>119</v>
      </c>
      <c r="AD10" s="89">
        <f>22.04-8</f>
        <v>14.04</v>
      </c>
      <c r="AF10" s="59">
        <v>42737</v>
      </c>
      <c r="AG10" t="s">
        <v>115</v>
      </c>
      <c r="AH10" s="89">
        <v>4.4400000000000004</v>
      </c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f>62/4</f>
        <v>15.5</v>
      </c>
      <c r="H11" s="10"/>
      <c r="I11" s="10" t="s">
        <v>47</v>
      </c>
      <c r="J11" s="22">
        <f>N8</f>
        <v>132.76</v>
      </c>
      <c r="L11" s="59">
        <v>42743</v>
      </c>
      <c r="M11" t="s">
        <v>123</v>
      </c>
      <c r="N11" s="89">
        <v>27.84</v>
      </c>
      <c r="P11" s="59">
        <v>42744</v>
      </c>
      <c r="Q11" t="s">
        <v>122</v>
      </c>
      <c r="R11" s="89">
        <v>31.8</v>
      </c>
      <c r="T11" s="59">
        <v>42736</v>
      </c>
      <c r="U11" t="s">
        <v>113</v>
      </c>
      <c r="V11" s="89">
        <v>14</v>
      </c>
      <c r="X11" s="59">
        <v>42750</v>
      </c>
      <c r="Y11" t="s">
        <v>131</v>
      </c>
      <c r="Z11" s="89">
        <v>13</v>
      </c>
      <c r="AB11" s="59">
        <v>42754</v>
      </c>
      <c r="AC11" t="s">
        <v>139</v>
      </c>
      <c r="AD11" s="89">
        <f>70</f>
        <v>70</v>
      </c>
      <c r="AF11" s="59">
        <v>42737</v>
      </c>
      <c r="AG11" t="s">
        <v>118</v>
      </c>
      <c r="AH11" s="89">
        <f>2.17</f>
        <v>2.17</v>
      </c>
    </row>
    <row r="12" spans="2:38" x14ac:dyDescent="0.2">
      <c r="B12" s="29" t="s">
        <v>110</v>
      </c>
      <c r="C12" s="30">
        <v>405.92</v>
      </c>
      <c r="D12" s="30">
        <v>405.17</v>
      </c>
      <c r="F12" s="51" t="s">
        <v>38</v>
      </c>
      <c r="G12" s="3">
        <f>+(33.64+52.99)/4</f>
        <v>21.657499999999999</v>
      </c>
      <c r="H12" s="10"/>
      <c r="I12" s="10" t="s">
        <v>46</v>
      </c>
      <c r="J12" s="22">
        <f>R8</f>
        <v>123.29999999999998</v>
      </c>
      <c r="L12" s="59">
        <v>42749</v>
      </c>
      <c r="M12" t="s">
        <v>122</v>
      </c>
      <c r="N12" s="89">
        <v>34.1</v>
      </c>
      <c r="P12" s="59">
        <v>42747</v>
      </c>
      <c r="Q12" t="s">
        <v>122</v>
      </c>
      <c r="R12" s="89">
        <f>13.95-7.55</f>
        <v>6.3999999999999995</v>
      </c>
      <c r="T12" s="59">
        <v>42737</v>
      </c>
      <c r="U12" t="s">
        <v>114</v>
      </c>
      <c r="V12" s="9">
        <v>8.65</v>
      </c>
      <c r="X12" s="59">
        <v>42750</v>
      </c>
      <c r="Y12" t="s">
        <v>134</v>
      </c>
      <c r="Z12" s="89">
        <v>18.5</v>
      </c>
      <c r="AF12" s="59">
        <v>42739</v>
      </c>
      <c r="AG12" t="s">
        <v>120</v>
      </c>
      <c r="AH12" s="89">
        <f>59.69-9.75</f>
        <v>49.94</v>
      </c>
    </row>
    <row r="13" spans="2:38" x14ac:dyDescent="0.2">
      <c r="B13" s="29" t="s">
        <v>21</v>
      </c>
      <c r="C13" s="30">
        <v>167.81</v>
      </c>
      <c r="D13" s="30">
        <v>167.63</v>
      </c>
      <c r="F13" s="51" t="s">
        <v>39</v>
      </c>
      <c r="G13" s="3">
        <f>16.53+15.86</f>
        <v>32.39</v>
      </c>
      <c r="H13" s="10"/>
      <c r="I13" s="10" t="s">
        <v>53</v>
      </c>
      <c r="J13" s="22">
        <f>V8</f>
        <v>309.15000000000003</v>
      </c>
      <c r="L13" s="59">
        <v>42764</v>
      </c>
      <c r="M13" t="s">
        <v>163</v>
      </c>
      <c r="N13" s="89">
        <f>34.66</f>
        <v>34.659999999999997</v>
      </c>
      <c r="P13" s="59">
        <v>42756</v>
      </c>
      <c r="Q13" t="s">
        <v>146</v>
      </c>
      <c r="R13" s="89">
        <v>64.97</v>
      </c>
      <c r="T13" s="59">
        <v>42737</v>
      </c>
      <c r="U13" t="s">
        <v>116</v>
      </c>
      <c r="V13" s="89">
        <v>15.1</v>
      </c>
      <c r="X13" s="59">
        <v>42756</v>
      </c>
      <c r="Y13" t="s">
        <v>145</v>
      </c>
      <c r="Z13" s="89">
        <v>28.54</v>
      </c>
      <c r="AF13" s="59">
        <v>42740</v>
      </c>
      <c r="AG13" t="s">
        <v>121</v>
      </c>
      <c r="AH13" s="89">
        <f>8.14</f>
        <v>8.14</v>
      </c>
    </row>
    <row r="14" spans="2:38" x14ac:dyDescent="0.2">
      <c r="B14" s="29" t="s">
        <v>22</v>
      </c>
      <c r="C14" s="30">
        <v>39.25</v>
      </c>
      <c r="D14" s="30">
        <v>39.200000000000003</v>
      </c>
      <c r="F14" s="51" t="s">
        <v>40</v>
      </c>
      <c r="G14" s="90">
        <v>0</v>
      </c>
      <c r="H14" s="10"/>
      <c r="I14" s="10" t="s">
        <v>54</v>
      </c>
      <c r="J14" s="22">
        <f>Z8</f>
        <v>121.82</v>
      </c>
      <c r="P14" s="59">
        <v>42766</v>
      </c>
      <c r="Q14" t="s">
        <v>122</v>
      </c>
      <c r="R14" s="9">
        <v>5.13</v>
      </c>
      <c r="T14" s="59">
        <v>42740</v>
      </c>
      <c r="U14" t="s">
        <v>126</v>
      </c>
      <c r="V14" s="9">
        <v>9.01</v>
      </c>
      <c r="X14" s="59">
        <v>42758</v>
      </c>
      <c r="Y14" t="s">
        <v>142</v>
      </c>
      <c r="Z14" s="89">
        <f>37+2.5</f>
        <v>39.5</v>
      </c>
      <c r="AF14" s="59">
        <v>42740</v>
      </c>
      <c r="AG14" t="s">
        <v>124</v>
      </c>
      <c r="AH14" s="89">
        <v>7.5</v>
      </c>
    </row>
    <row r="15" spans="2:38" x14ac:dyDescent="0.2">
      <c r="B15" s="31" t="s">
        <v>24</v>
      </c>
      <c r="C15" s="11">
        <f>SUM(C12:C14)</f>
        <v>612.98</v>
      </c>
      <c r="D15" s="32">
        <f>SUM(D12:D14)</f>
        <v>612</v>
      </c>
      <c r="F15" s="52" t="s">
        <v>41</v>
      </c>
      <c r="G15" s="91">
        <f>SUM(G11:G14)</f>
        <v>69.547499999999999</v>
      </c>
      <c r="H15" s="10"/>
      <c r="I15" s="10" t="s">
        <v>55</v>
      </c>
      <c r="J15" s="22">
        <f>AD8</f>
        <v>84.039999999999992</v>
      </c>
      <c r="T15" s="59">
        <v>42741</v>
      </c>
      <c r="U15" t="s">
        <v>125</v>
      </c>
      <c r="V15" s="89">
        <v>12.21</v>
      </c>
      <c r="X15" s="59">
        <v>42759</v>
      </c>
      <c r="Y15" t="s">
        <v>150</v>
      </c>
      <c r="Z15" s="89">
        <f>13</f>
        <v>13</v>
      </c>
      <c r="AF15" s="59">
        <v>42744</v>
      </c>
      <c r="AG15" t="s">
        <v>127</v>
      </c>
      <c r="AH15" s="9">
        <v>2.16</v>
      </c>
    </row>
    <row r="16" spans="2:38" ht="16" thickBot="1" x14ac:dyDescent="0.25">
      <c r="B16" s="29" t="s">
        <v>25</v>
      </c>
      <c r="C16" s="13">
        <f>C15/C8</f>
        <v>0.22672481071744285</v>
      </c>
      <c r="D16" s="33">
        <f>D15/D8</f>
        <v>0.22636233508283307</v>
      </c>
      <c r="F16" s="21"/>
      <c r="G16" s="3"/>
      <c r="H16" s="10"/>
      <c r="I16" s="10" t="s">
        <v>56</v>
      </c>
      <c r="J16" s="22">
        <f>AH8</f>
        <v>367.37</v>
      </c>
      <c r="T16" s="59">
        <v>42748</v>
      </c>
      <c r="U16" t="s">
        <v>128</v>
      </c>
      <c r="V16" s="89">
        <v>19.5</v>
      </c>
      <c r="AF16" s="59">
        <v>42748</v>
      </c>
      <c r="AG16" t="s">
        <v>129</v>
      </c>
      <c r="AH16" s="9">
        <v>1.62</v>
      </c>
    </row>
    <row r="17" spans="2:34" ht="16" thickBot="1" x14ac:dyDescent="0.25">
      <c r="B17" s="29"/>
      <c r="C17" s="13"/>
      <c r="D17" s="34">
        <f>SUM(C15:D15)</f>
        <v>1224.98</v>
      </c>
      <c r="F17" s="54" t="s">
        <v>48</v>
      </c>
      <c r="G17" s="3"/>
      <c r="H17" s="10"/>
      <c r="I17" s="66" t="s">
        <v>78</v>
      </c>
      <c r="J17" s="22">
        <f>1.2+3.75+2.03+2.52</f>
        <v>9.5</v>
      </c>
      <c r="R17" s="89"/>
      <c r="T17" s="59">
        <v>42750</v>
      </c>
      <c r="U17" t="s">
        <v>133</v>
      </c>
      <c r="V17" s="9">
        <v>20.58</v>
      </c>
      <c r="AF17" s="59">
        <v>42749</v>
      </c>
      <c r="AG17" t="s">
        <v>130</v>
      </c>
      <c r="AH17" s="9">
        <v>61.13</v>
      </c>
    </row>
    <row r="18" spans="2:34" x14ac:dyDescent="0.2">
      <c r="B18" s="35"/>
      <c r="C18" s="36"/>
      <c r="D18" s="37">
        <f>D17/D9</f>
        <v>0.22654357290013796</v>
      </c>
      <c r="F18" s="21" t="s">
        <v>85</v>
      </c>
      <c r="G18" s="3">
        <v>497.3</v>
      </c>
      <c r="H18" s="10"/>
      <c r="I18" s="66" t="s">
        <v>86</v>
      </c>
      <c r="J18" s="22">
        <f>J33</f>
        <v>484.28</v>
      </c>
      <c r="T18" s="59">
        <v>42751</v>
      </c>
      <c r="U18" t="s">
        <v>136</v>
      </c>
      <c r="V18" s="9">
        <v>10.16</v>
      </c>
      <c r="Z18" s="89"/>
      <c r="AF18" s="59">
        <v>42750</v>
      </c>
      <c r="AG18" t="s">
        <v>132</v>
      </c>
      <c r="AH18" s="9">
        <f>8+1.02</f>
        <v>9.02</v>
      </c>
    </row>
    <row r="19" spans="2:34" x14ac:dyDescent="0.2">
      <c r="F19" s="21" t="s">
        <v>42</v>
      </c>
      <c r="G19" s="3">
        <v>320</v>
      </c>
      <c r="H19" s="10"/>
      <c r="I19" s="44" t="s">
        <v>57</v>
      </c>
      <c r="J19" s="53">
        <f>SUM(J11:J18)</f>
        <v>1632.22</v>
      </c>
      <c r="T19" s="59">
        <v>42752</v>
      </c>
      <c r="U19" t="s">
        <v>137</v>
      </c>
      <c r="V19" s="9">
        <v>11.9</v>
      </c>
      <c r="AF19" s="59">
        <v>42752</v>
      </c>
      <c r="AG19" t="s">
        <v>140</v>
      </c>
      <c r="AH19" s="89">
        <f>97.35+43.65</f>
        <v>141</v>
      </c>
    </row>
    <row r="20" spans="2:34" ht="16" thickBot="1" x14ac:dyDescent="0.25">
      <c r="B20" s="18" t="s">
        <v>27</v>
      </c>
      <c r="C20" s="27"/>
      <c r="D20" s="28"/>
      <c r="F20" s="21" t="s">
        <v>43</v>
      </c>
      <c r="G20" s="3">
        <v>90</v>
      </c>
      <c r="H20" s="10"/>
      <c r="I20" s="10"/>
      <c r="J20" s="22"/>
      <c r="T20" s="59">
        <v>42753</v>
      </c>
      <c r="U20" t="s">
        <v>138</v>
      </c>
      <c r="V20" s="89">
        <v>11.58</v>
      </c>
      <c r="AF20" s="59">
        <v>42761</v>
      </c>
      <c r="AG20" t="s">
        <v>153</v>
      </c>
      <c r="AH20" s="9">
        <v>76</v>
      </c>
    </row>
    <row r="21" spans="2:34" ht="16" thickBot="1" x14ac:dyDescent="0.25">
      <c r="B21" s="29" t="s">
        <v>107</v>
      </c>
      <c r="C21" s="22">
        <f>0.08*C6</f>
        <v>216.29040000000001</v>
      </c>
      <c r="D21" s="22">
        <f>0.08*D6</f>
        <v>216.29040000000001</v>
      </c>
      <c r="F21" s="21" t="s">
        <v>75</v>
      </c>
      <c r="G21" s="3">
        <v>80</v>
      </c>
      <c r="H21" s="10"/>
      <c r="I21" s="45" t="s">
        <v>58</v>
      </c>
      <c r="J21" s="93">
        <f>SUM(G26,J19)</f>
        <v>3457.5174999999999</v>
      </c>
      <c r="T21" s="59">
        <v>42754</v>
      </c>
      <c r="U21" t="s">
        <v>141</v>
      </c>
      <c r="V21" s="89">
        <v>8.52</v>
      </c>
      <c r="AF21" s="59">
        <v>42764</v>
      </c>
      <c r="AG21" t="s">
        <v>158</v>
      </c>
      <c r="AH21" s="89">
        <f>4.25</f>
        <v>4.25</v>
      </c>
    </row>
    <row r="22" spans="2:34" x14ac:dyDescent="0.2">
      <c r="B22" s="29" t="s">
        <v>29</v>
      </c>
      <c r="C22" s="22">
        <f>0.04*C6</f>
        <v>108.1452</v>
      </c>
      <c r="D22" s="22">
        <f>0.04*D6</f>
        <v>108.1452</v>
      </c>
      <c r="F22" s="21" t="s">
        <v>44</v>
      </c>
      <c r="G22" s="3">
        <v>52.24</v>
      </c>
      <c r="H22" s="10"/>
      <c r="I22" s="10"/>
      <c r="J22" s="49"/>
      <c r="T22" s="59">
        <v>42755</v>
      </c>
      <c r="U22" t="s">
        <v>143</v>
      </c>
      <c r="V22" s="89">
        <v>28.92</v>
      </c>
    </row>
    <row r="23" spans="2:34" x14ac:dyDescent="0.2">
      <c r="B23" s="31" t="s">
        <v>30</v>
      </c>
      <c r="C23" s="12">
        <f>SUM(C21:C22)</f>
        <v>324.43560000000002</v>
      </c>
      <c r="D23" s="38">
        <f>SUM(D21:D22)</f>
        <v>324.43560000000002</v>
      </c>
      <c r="F23" s="21" t="s">
        <v>45</v>
      </c>
      <c r="G23" s="3">
        <v>5.4</v>
      </c>
      <c r="H23" s="10"/>
      <c r="I23" s="10"/>
      <c r="J23" s="49"/>
      <c r="T23" s="59">
        <v>42755</v>
      </c>
      <c r="U23" t="s">
        <v>144</v>
      </c>
      <c r="V23" s="89">
        <v>10.67</v>
      </c>
    </row>
    <row r="24" spans="2:34" ht="16" thickBot="1" x14ac:dyDescent="0.25">
      <c r="B24" s="21"/>
      <c r="C24" s="39">
        <f>C23/C6</f>
        <v>0.12000000000000001</v>
      </c>
      <c r="D24" s="40">
        <f>D23/D6</f>
        <v>0.12000000000000001</v>
      </c>
      <c r="F24" s="25" t="s">
        <v>79</v>
      </c>
      <c r="G24" s="90">
        <v>10.81</v>
      </c>
      <c r="H24" s="10"/>
      <c r="I24" s="10"/>
      <c r="J24" s="49"/>
      <c r="T24" s="59">
        <v>42757</v>
      </c>
      <c r="U24" t="s">
        <v>147</v>
      </c>
      <c r="V24" s="9">
        <v>21.5</v>
      </c>
    </row>
    <row r="25" spans="2:34" ht="16" thickBot="1" x14ac:dyDescent="0.25">
      <c r="B25" s="21"/>
      <c r="C25" s="10"/>
      <c r="D25" s="41">
        <f>SUM(C23:D23)</f>
        <v>648.87120000000004</v>
      </c>
      <c r="F25" s="55" t="s">
        <v>50</v>
      </c>
      <c r="G25" s="43">
        <f>SUM(G18:G24)</f>
        <v>1055.75</v>
      </c>
      <c r="H25" s="10"/>
      <c r="I25" s="10"/>
      <c r="J25" s="49"/>
      <c r="T25" s="59">
        <v>42758</v>
      </c>
      <c r="U25" t="s">
        <v>149</v>
      </c>
      <c r="V25" s="89">
        <f>31.21</f>
        <v>31.21</v>
      </c>
    </row>
    <row r="26" spans="2:34" x14ac:dyDescent="0.2">
      <c r="B26" s="25"/>
      <c r="C26" s="8"/>
      <c r="D26" s="42">
        <f>D25/SUM(C6:D6)</f>
        <v>0.12000000000000001</v>
      </c>
      <c r="F26" s="94" t="s">
        <v>49</v>
      </c>
      <c r="G26" s="95">
        <f>SUM(G8,G15,G25)</f>
        <v>1825.2975000000001</v>
      </c>
      <c r="H26" s="8"/>
      <c r="I26" s="8"/>
      <c r="J26" s="56"/>
      <c r="T26" s="59">
        <v>42760</v>
      </c>
      <c r="U26" t="s">
        <v>152</v>
      </c>
      <c r="V26" s="89">
        <f>10.97</f>
        <v>10.97</v>
      </c>
    </row>
    <row r="27" spans="2:34" ht="16" thickBot="1" x14ac:dyDescent="0.25">
      <c r="T27" s="59">
        <v>42762</v>
      </c>
      <c r="U27" t="s">
        <v>154</v>
      </c>
      <c r="V27" s="9">
        <v>7.69</v>
      </c>
    </row>
    <row r="28" spans="2:34" ht="16" thickBot="1" x14ac:dyDescent="0.25">
      <c r="B28" s="14" t="s">
        <v>31</v>
      </c>
      <c r="C28" s="15">
        <f>C8-C15-C23</f>
        <v>1766.2144000000001</v>
      </c>
      <c r="D28" s="16">
        <f>D8-D15-D23</f>
        <v>1767.1944000000001</v>
      </c>
      <c r="I28" s="14" t="s">
        <v>59</v>
      </c>
      <c r="J28" s="57">
        <f>G5-J21</f>
        <v>19476.751300000004</v>
      </c>
      <c r="T28" s="59">
        <v>42763</v>
      </c>
      <c r="U28" t="s">
        <v>155</v>
      </c>
      <c r="V28" s="9">
        <v>8.07</v>
      </c>
    </row>
    <row r="29" spans="2:34" ht="16" thickBot="1" x14ac:dyDescent="0.25">
      <c r="D29" s="17">
        <f>SUM(C28:D28)</f>
        <v>3533.4088000000002</v>
      </c>
      <c r="T29" s="59">
        <v>42763</v>
      </c>
      <c r="U29" t="s">
        <v>156</v>
      </c>
      <c r="V29" s="89">
        <f>12.55</f>
        <v>12.55</v>
      </c>
    </row>
    <row r="30" spans="2:34" x14ac:dyDescent="0.2">
      <c r="I30" t="s">
        <v>84</v>
      </c>
      <c r="J30" s="9">
        <f>J28-G2</f>
        <v>580.89130000000296</v>
      </c>
      <c r="T30" s="59">
        <v>42764</v>
      </c>
      <c r="U30" t="s">
        <v>157</v>
      </c>
      <c r="V30" s="89">
        <f>10.99</f>
        <v>10.99</v>
      </c>
    </row>
    <row r="31" spans="2:34" x14ac:dyDescent="0.2">
      <c r="T31" s="59">
        <v>42765</v>
      </c>
      <c r="U31" t="s">
        <v>159</v>
      </c>
      <c r="V31" s="89">
        <f>6.52</f>
        <v>6.52</v>
      </c>
    </row>
    <row r="32" spans="2:34" ht="16" thickBot="1" x14ac:dyDescent="0.25">
      <c r="D32" s="9"/>
      <c r="I32" s="113" t="s">
        <v>86</v>
      </c>
      <c r="J32" s="114"/>
      <c r="T32" s="59">
        <v>42765</v>
      </c>
      <c r="U32" t="s">
        <v>125</v>
      </c>
      <c r="V32" s="89">
        <f>8.85</f>
        <v>8.85</v>
      </c>
    </row>
    <row r="33" spans="4:10" x14ac:dyDescent="0.2">
      <c r="D33" s="9"/>
      <c r="I33" s="118" t="s">
        <v>66</v>
      </c>
      <c r="J33" s="115">
        <f>SUM(J35:J38)</f>
        <v>484.28</v>
      </c>
    </row>
    <row r="34" spans="4:10" x14ac:dyDescent="0.2">
      <c r="D34" s="9"/>
      <c r="I34" s="25" t="s">
        <v>63</v>
      </c>
      <c r="J34" s="116" t="s">
        <v>64</v>
      </c>
    </row>
    <row r="35" spans="4:10" x14ac:dyDescent="0.2">
      <c r="I35" s="21" t="s">
        <v>117</v>
      </c>
      <c r="J35" s="119">
        <f>6.56-6.56</f>
        <v>0</v>
      </c>
    </row>
    <row r="36" spans="4:10" x14ac:dyDescent="0.2">
      <c r="I36" s="21" t="s">
        <v>135</v>
      </c>
      <c r="J36" s="30">
        <v>50</v>
      </c>
    </row>
    <row r="37" spans="4:10" x14ac:dyDescent="0.2">
      <c r="I37" s="21" t="s">
        <v>151</v>
      </c>
      <c r="J37" s="121">
        <f>24+9</f>
        <v>33</v>
      </c>
    </row>
    <row r="38" spans="4:10" x14ac:dyDescent="0.2">
      <c r="I38" s="25" t="s">
        <v>148</v>
      </c>
      <c r="J38" s="120">
        <v>401.28</v>
      </c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tabSelected="1" zoomScale="80" zoomScaleNormal="80" zoomScalePageLayoutView="80" workbookViewId="0">
      <selection activeCell="D32" sqref="D3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109</v>
      </c>
      <c r="F2" t="s">
        <v>32</v>
      </c>
      <c r="G2" s="2">
        <f>Jan!J28</f>
        <v>19476.751300000004</v>
      </c>
      <c r="I2" s="9"/>
    </row>
    <row r="3" spans="2:38" x14ac:dyDescent="0.2">
      <c r="B3" s="10" t="s">
        <v>23</v>
      </c>
      <c r="C3" s="9">
        <f>C6*24</f>
        <v>64887.12</v>
      </c>
      <c r="F3" s="109" t="s">
        <v>31</v>
      </c>
      <c r="G3" s="4">
        <f>D29</f>
        <v>10809.303599999999</v>
      </c>
    </row>
    <row r="4" spans="2:38" x14ac:dyDescent="0.2">
      <c r="F4" t="s">
        <v>33</v>
      </c>
      <c r="G4" s="2">
        <f>-0.02</f>
        <v>-0.02</v>
      </c>
      <c r="I4" t="s">
        <v>95</v>
      </c>
      <c r="J4" s="9">
        <f>SUM(N4,R4,V4,Z4,AD4,AH4)</f>
        <v>-64.260000000000034</v>
      </c>
      <c r="L4" s="126" t="s">
        <v>88</v>
      </c>
      <c r="M4" s="126"/>
      <c r="N4" s="9">
        <f>150-N8</f>
        <v>81.099999999999994</v>
      </c>
      <c r="P4" s="126" t="s">
        <v>89</v>
      </c>
      <c r="Q4" s="126"/>
      <c r="R4" s="9">
        <f>100-R8</f>
        <v>-11.86</v>
      </c>
      <c r="T4" s="126" t="s">
        <v>90</v>
      </c>
      <c r="U4" s="126"/>
      <c r="V4" s="9">
        <f>200-V8</f>
        <v>-63.700000000000045</v>
      </c>
      <c r="X4" s="126" t="s">
        <v>91</v>
      </c>
      <c r="Y4" s="126"/>
      <c r="Z4" s="9">
        <f>100-Z8</f>
        <v>-84.41</v>
      </c>
      <c r="AB4" s="126" t="s">
        <v>92</v>
      </c>
      <c r="AC4" s="126"/>
      <c r="AD4" s="9">
        <f>100-AD8</f>
        <v>-37.329999999999984</v>
      </c>
      <c r="AF4" s="126" t="s">
        <v>93</v>
      </c>
      <c r="AG4" s="126"/>
      <c r="AH4" s="9">
        <f>300-AH8</f>
        <v>51.94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30286.034900000002</v>
      </c>
      <c r="AJ5" s="59"/>
      <c r="AL5" s="9"/>
    </row>
    <row r="6" spans="2:38" ht="16" thickBot="1" x14ac:dyDescent="0.25">
      <c r="B6" s="21" t="s">
        <v>19</v>
      </c>
      <c r="C6" s="90">
        <v>2703.63</v>
      </c>
      <c r="D6" s="22">
        <v>2703.63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10963.67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2703.63</v>
      </c>
      <c r="D8" s="24">
        <f>D6+D7</f>
        <v>13667.3</v>
      </c>
      <c r="F8" s="48" t="s">
        <v>74</v>
      </c>
      <c r="G8" s="91">
        <v>700</v>
      </c>
      <c r="H8" s="10"/>
      <c r="I8" s="10"/>
      <c r="J8" s="49"/>
      <c r="L8" s="132" t="s">
        <v>66</v>
      </c>
      <c r="M8" s="132"/>
      <c r="N8" s="60">
        <f>SUM(N10:N50)</f>
        <v>68.900000000000006</v>
      </c>
      <c r="P8" s="132" t="s">
        <v>66</v>
      </c>
      <c r="Q8" s="132"/>
      <c r="R8" s="60">
        <f>SUM(R10:R50)</f>
        <v>111.86</v>
      </c>
      <c r="T8" s="132" t="s">
        <v>66</v>
      </c>
      <c r="U8" s="132"/>
      <c r="V8" s="60">
        <f>SUM(V10:V50)</f>
        <v>263.70000000000005</v>
      </c>
      <c r="X8" s="132" t="s">
        <v>66</v>
      </c>
      <c r="Y8" s="132"/>
      <c r="Z8" s="60">
        <f>SUM(Z10:Z50)</f>
        <v>184.41</v>
      </c>
      <c r="AB8" s="132" t="s">
        <v>66</v>
      </c>
      <c r="AC8" s="132"/>
      <c r="AD8" s="60">
        <f>SUM(AD10:AD50)</f>
        <v>137.32999999999998</v>
      </c>
      <c r="AF8" s="132" t="s">
        <v>66</v>
      </c>
      <c r="AG8" s="132"/>
      <c r="AH8" s="60">
        <f>SUM(AH10:AH50)</f>
        <v>248.06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16370.93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L10" s="59">
        <v>42771</v>
      </c>
      <c r="M10" t="s">
        <v>169</v>
      </c>
      <c r="N10" s="89">
        <f>35.91</f>
        <v>35.909999999999997</v>
      </c>
      <c r="P10" s="59">
        <v>42771</v>
      </c>
      <c r="Q10" t="s">
        <v>122</v>
      </c>
      <c r="R10" s="89">
        <f>37.44</f>
        <v>37.44</v>
      </c>
      <c r="T10" s="59">
        <v>42770</v>
      </c>
      <c r="U10" t="s">
        <v>166</v>
      </c>
      <c r="V10" s="89">
        <f>6.45</f>
        <v>6.45</v>
      </c>
      <c r="W10" s="123"/>
      <c r="X10" s="124">
        <v>42770</v>
      </c>
      <c r="Y10" s="123" t="s">
        <v>165</v>
      </c>
      <c r="Z10" s="89">
        <v>15.16</v>
      </c>
      <c r="AA10" s="123"/>
      <c r="AB10" s="124">
        <v>42776</v>
      </c>
      <c r="AC10" s="123" t="s">
        <v>175</v>
      </c>
      <c r="AD10" s="89">
        <f>282.75-(40.4*5)-40</f>
        <v>40.75</v>
      </c>
      <c r="AE10" s="123"/>
      <c r="AF10" s="124">
        <v>42771</v>
      </c>
      <c r="AG10" s="123" t="s">
        <v>168</v>
      </c>
      <c r="AH10" s="89">
        <f>45+45</f>
        <v>90</v>
      </c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f>75.01/4</f>
        <v>18.752500000000001</v>
      </c>
      <c r="H11" s="10"/>
      <c r="I11" s="10" t="s">
        <v>47</v>
      </c>
      <c r="J11" s="22">
        <f>N8</f>
        <v>68.900000000000006</v>
      </c>
      <c r="L11" s="59">
        <v>42779</v>
      </c>
      <c r="M11" t="s">
        <v>122</v>
      </c>
      <c r="N11" s="89">
        <f>32.99</f>
        <v>32.99</v>
      </c>
      <c r="P11" s="59">
        <v>42775</v>
      </c>
      <c r="Q11" t="s">
        <v>172</v>
      </c>
      <c r="R11" s="89">
        <v>9.8000000000000007</v>
      </c>
      <c r="T11" s="59">
        <v>42777</v>
      </c>
      <c r="U11" t="s">
        <v>173</v>
      </c>
      <c r="V11" s="89">
        <f>24.9-12</f>
        <v>12.899999999999999</v>
      </c>
      <c r="W11" s="123"/>
      <c r="X11" s="124">
        <v>42770</v>
      </c>
      <c r="Y11" s="123" t="s">
        <v>167</v>
      </c>
      <c r="Z11" s="89">
        <f>17</f>
        <v>17</v>
      </c>
      <c r="AA11" s="123"/>
      <c r="AB11" s="124">
        <v>42781</v>
      </c>
      <c r="AC11" s="123" t="s">
        <v>183</v>
      </c>
      <c r="AD11" s="89">
        <v>11</v>
      </c>
      <c r="AE11" s="123"/>
      <c r="AF11" s="124">
        <v>42773</v>
      </c>
      <c r="AG11" s="123" t="s">
        <v>170</v>
      </c>
      <c r="AH11" s="89">
        <v>64.95</v>
      </c>
    </row>
    <row r="12" spans="2:38" x14ac:dyDescent="0.2">
      <c r="B12" s="29" t="s">
        <v>110</v>
      </c>
      <c r="C12" s="30">
        <v>405.92</v>
      </c>
      <c r="D12" s="30">
        <v>3146.09</v>
      </c>
      <c r="F12" s="51" t="s">
        <v>38</v>
      </c>
      <c r="G12" s="3">
        <f>(46.68+65.41)/4</f>
        <v>28.022500000000001</v>
      </c>
      <c r="H12" s="10"/>
      <c r="I12" s="10" t="s">
        <v>46</v>
      </c>
      <c r="J12" s="22">
        <f>R8</f>
        <v>111.86</v>
      </c>
      <c r="N12" s="89"/>
      <c r="P12" s="59">
        <v>42787</v>
      </c>
      <c r="Q12" t="s">
        <v>122</v>
      </c>
      <c r="R12" s="89">
        <v>64.62</v>
      </c>
      <c r="T12" s="59">
        <v>42779</v>
      </c>
      <c r="U12" t="s">
        <v>155</v>
      </c>
      <c r="V12" s="89">
        <v>6.4</v>
      </c>
      <c r="W12" s="123"/>
      <c r="X12" s="124">
        <v>42776</v>
      </c>
      <c r="Y12" s="123" t="s">
        <v>174</v>
      </c>
      <c r="Z12" s="89">
        <v>13.91</v>
      </c>
      <c r="AA12" s="123"/>
      <c r="AB12" s="124">
        <v>42787</v>
      </c>
      <c r="AC12" s="123" t="s">
        <v>193</v>
      </c>
      <c r="AD12" s="89">
        <v>30</v>
      </c>
      <c r="AE12" s="123"/>
      <c r="AF12" s="124">
        <v>42777</v>
      </c>
      <c r="AG12" s="123" t="s">
        <v>177</v>
      </c>
      <c r="AH12" s="89">
        <f>500-(50*8)</f>
        <v>100</v>
      </c>
    </row>
    <row r="13" spans="2:38" x14ac:dyDescent="0.2">
      <c r="B13" s="29" t="s">
        <v>21</v>
      </c>
      <c r="C13" s="30">
        <v>167.81</v>
      </c>
      <c r="D13" s="30">
        <v>847.37</v>
      </c>
      <c r="F13" s="51" t="s">
        <v>39</v>
      </c>
      <c r="G13" s="3">
        <f>16.53+14.3</f>
        <v>30.830000000000002</v>
      </c>
      <c r="H13" s="10"/>
      <c r="I13" s="10" t="s">
        <v>53</v>
      </c>
      <c r="J13" s="22">
        <f>V8</f>
        <v>263.70000000000005</v>
      </c>
      <c r="R13" s="89"/>
      <c r="T13" s="59">
        <v>42779</v>
      </c>
      <c r="U13" t="s">
        <v>180</v>
      </c>
      <c r="V13" s="89">
        <f>32.48</f>
        <v>32.479999999999997</v>
      </c>
      <c r="W13" s="123"/>
      <c r="X13" s="124">
        <v>42778</v>
      </c>
      <c r="Y13" s="123" t="s">
        <v>176</v>
      </c>
      <c r="Z13" s="89">
        <v>18</v>
      </c>
      <c r="AA13" s="123"/>
      <c r="AB13" s="124">
        <v>42787</v>
      </c>
      <c r="AC13" s="123" t="s">
        <v>194</v>
      </c>
      <c r="AD13" s="89">
        <v>9.08</v>
      </c>
      <c r="AE13" s="123"/>
      <c r="AF13" s="124">
        <v>42780</v>
      </c>
      <c r="AG13" s="123" t="s">
        <v>178</v>
      </c>
      <c r="AH13" s="89">
        <f>20.11</f>
        <v>20.11</v>
      </c>
    </row>
    <row r="14" spans="2:38" x14ac:dyDescent="0.2">
      <c r="B14" s="29" t="s">
        <v>22</v>
      </c>
      <c r="C14" s="30">
        <v>39.24</v>
      </c>
      <c r="D14" s="30">
        <v>198.18</v>
      </c>
      <c r="F14" s="51" t="s">
        <v>40</v>
      </c>
      <c r="G14" s="90">
        <v>0</v>
      </c>
      <c r="H14" s="10"/>
      <c r="I14" s="10" t="s">
        <v>54</v>
      </c>
      <c r="J14" s="22">
        <f>Z8</f>
        <v>184.41</v>
      </c>
      <c r="T14" s="59">
        <v>42781</v>
      </c>
      <c r="U14" t="s">
        <v>184</v>
      </c>
      <c r="V14" s="89">
        <v>12.98</v>
      </c>
      <c r="W14" s="123"/>
      <c r="X14" s="124">
        <v>42781</v>
      </c>
      <c r="Y14" s="123" t="s">
        <v>176</v>
      </c>
      <c r="Z14" s="89">
        <v>12</v>
      </c>
      <c r="AA14" s="123"/>
      <c r="AB14" s="124">
        <v>42791</v>
      </c>
      <c r="AC14" s="123" t="s">
        <v>201</v>
      </c>
      <c r="AD14" s="89">
        <v>46.5</v>
      </c>
      <c r="AE14" s="123"/>
      <c r="AF14" s="124">
        <v>42785</v>
      </c>
      <c r="AG14" s="123" t="s">
        <v>192</v>
      </c>
      <c r="AH14" s="89">
        <f>13</f>
        <v>13</v>
      </c>
    </row>
    <row r="15" spans="2:38" x14ac:dyDescent="0.2">
      <c r="B15" s="31" t="s">
        <v>24</v>
      </c>
      <c r="C15" s="11">
        <f>SUM(C12:C14)</f>
        <v>612.97</v>
      </c>
      <c r="D15" s="32">
        <f>SUM(D12:D14)</f>
        <v>4191.6400000000003</v>
      </c>
      <c r="F15" s="52" t="s">
        <v>41</v>
      </c>
      <c r="G15" s="91">
        <f>SUM(G11:G14)</f>
        <v>77.605000000000004</v>
      </c>
      <c r="H15" s="10"/>
      <c r="I15" s="10" t="s">
        <v>55</v>
      </c>
      <c r="J15" s="22">
        <f>AD8</f>
        <v>137.32999999999998</v>
      </c>
      <c r="T15" s="59">
        <v>42782</v>
      </c>
      <c r="U15" t="s">
        <v>185</v>
      </c>
      <c r="V15" s="89">
        <v>13</v>
      </c>
      <c r="W15" s="123"/>
      <c r="X15" s="124">
        <v>42782</v>
      </c>
      <c r="Y15" s="123" t="s">
        <v>185</v>
      </c>
      <c r="Z15" s="89">
        <v>17.48</v>
      </c>
      <c r="AA15" s="123"/>
      <c r="AB15" s="124"/>
      <c r="AC15" s="123"/>
      <c r="AD15" s="89"/>
      <c r="AE15" s="123"/>
      <c r="AF15" s="124"/>
      <c r="AG15" s="123"/>
      <c r="AH15" s="89"/>
    </row>
    <row r="16" spans="2:38" ht="16" thickBot="1" x14ac:dyDescent="0.25">
      <c r="B16" s="29" t="s">
        <v>25</v>
      </c>
      <c r="C16" s="13">
        <f>C15/C8</f>
        <v>0.22672111198647743</v>
      </c>
      <c r="D16" s="33">
        <f>D15/D8</f>
        <v>0.30669115333679664</v>
      </c>
      <c r="F16" s="21"/>
      <c r="G16" s="3"/>
      <c r="H16" s="10"/>
      <c r="I16" s="10" t="s">
        <v>56</v>
      </c>
      <c r="J16" s="22">
        <f>AH8</f>
        <v>248.06</v>
      </c>
      <c r="T16" s="59">
        <v>42782</v>
      </c>
      <c r="U16" t="s">
        <v>125</v>
      </c>
      <c r="V16" s="89">
        <v>2.68</v>
      </c>
      <c r="W16" s="123"/>
      <c r="X16" s="124">
        <v>42783</v>
      </c>
      <c r="Y16" s="123" t="s">
        <v>186</v>
      </c>
      <c r="Z16" s="89">
        <f>11.25+10.95</f>
        <v>22.2</v>
      </c>
      <c r="AA16" s="123"/>
      <c r="AB16" s="124"/>
      <c r="AC16" s="123"/>
      <c r="AD16" s="89"/>
      <c r="AE16" s="123"/>
      <c r="AF16" s="124">
        <v>42790</v>
      </c>
      <c r="AG16" s="123" t="s">
        <v>181</v>
      </c>
      <c r="AH16" s="89">
        <f>-20*2</f>
        <v>-40</v>
      </c>
    </row>
    <row r="17" spans="2:34" ht="16" thickBot="1" x14ac:dyDescent="0.25">
      <c r="B17" s="29"/>
      <c r="C17" s="13"/>
      <c r="D17" s="34">
        <f>SUM(C15:D15)</f>
        <v>4804.6100000000006</v>
      </c>
      <c r="F17" s="54" t="s">
        <v>48</v>
      </c>
      <c r="G17" s="3"/>
      <c r="H17" s="10"/>
      <c r="I17" s="66" t="s">
        <v>78</v>
      </c>
      <c r="J17" s="22">
        <f>3.47+0.87+4.49+2.75</f>
        <v>11.58</v>
      </c>
      <c r="R17" s="89"/>
      <c r="T17" s="59">
        <v>42784</v>
      </c>
      <c r="U17" t="s">
        <v>188</v>
      </c>
      <c r="V17" s="89">
        <v>28.37</v>
      </c>
      <c r="W17" s="123"/>
      <c r="X17" s="124">
        <v>42784</v>
      </c>
      <c r="Y17" s="123" t="s">
        <v>187</v>
      </c>
      <c r="Z17" s="89">
        <f>18+16</f>
        <v>34</v>
      </c>
      <c r="AA17" s="123"/>
      <c r="AB17" s="124"/>
      <c r="AC17" s="123"/>
      <c r="AD17" s="89"/>
      <c r="AE17" s="123"/>
      <c r="AF17" s="124"/>
      <c r="AG17" s="123"/>
      <c r="AH17" s="89"/>
    </row>
    <row r="18" spans="2:34" x14ac:dyDescent="0.2">
      <c r="B18" s="35"/>
      <c r="C18" s="36"/>
      <c r="D18" s="37">
        <f>D17/D9</f>
        <v>0.29348424310653093</v>
      </c>
      <c r="F18" s="21" t="s">
        <v>85</v>
      </c>
      <c r="G18" s="3">
        <v>497.3</v>
      </c>
      <c r="H18" s="10"/>
      <c r="I18" s="66" t="s">
        <v>86</v>
      </c>
      <c r="J18" s="22">
        <f>J33</f>
        <v>280.2</v>
      </c>
      <c r="T18" s="59">
        <v>42785</v>
      </c>
      <c r="U18" t="s">
        <v>189</v>
      </c>
      <c r="V18" s="89">
        <v>24.73</v>
      </c>
      <c r="W18" s="123"/>
      <c r="X18" s="59">
        <v>42790</v>
      </c>
      <c r="Y18" s="123" t="s">
        <v>196</v>
      </c>
      <c r="Z18" s="9">
        <v>16</v>
      </c>
      <c r="AA18" s="123"/>
      <c r="AB18" s="124"/>
      <c r="AC18" s="123"/>
      <c r="AD18" s="89"/>
      <c r="AE18" s="123"/>
      <c r="AF18" s="124"/>
      <c r="AG18" s="123"/>
      <c r="AH18" s="89"/>
    </row>
    <row r="19" spans="2:34" x14ac:dyDescent="0.2">
      <c r="F19" s="21" t="s">
        <v>42</v>
      </c>
      <c r="G19" s="3">
        <v>320</v>
      </c>
      <c r="H19" s="10"/>
      <c r="I19" s="44" t="s">
        <v>57</v>
      </c>
      <c r="J19" s="53">
        <f>SUM(J11:J18)</f>
        <v>1306.04</v>
      </c>
      <c r="T19" s="59">
        <v>42785</v>
      </c>
      <c r="U19" t="s">
        <v>190</v>
      </c>
      <c r="V19" s="89">
        <f>109.57</f>
        <v>109.57</v>
      </c>
      <c r="W19" s="123"/>
      <c r="X19" s="124">
        <v>42792</v>
      </c>
      <c r="Y19" s="123" t="s">
        <v>195</v>
      </c>
      <c r="Z19" s="89">
        <f>9-7+16.66</f>
        <v>18.66</v>
      </c>
      <c r="AA19" s="123"/>
      <c r="AB19" s="124"/>
      <c r="AC19" s="123"/>
      <c r="AD19" s="89"/>
      <c r="AE19" s="123"/>
      <c r="AF19" s="124"/>
      <c r="AG19" s="123"/>
      <c r="AH19" s="89"/>
    </row>
    <row r="20" spans="2:34" ht="16" thickBot="1" x14ac:dyDescent="0.25">
      <c r="B20" s="18" t="s">
        <v>27</v>
      </c>
      <c r="C20" s="27"/>
      <c r="D20" s="28"/>
      <c r="F20" s="21" t="s">
        <v>43</v>
      </c>
      <c r="G20" s="3">
        <v>90</v>
      </c>
      <c r="H20" s="10"/>
      <c r="I20" s="10"/>
      <c r="J20" s="22"/>
      <c r="T20" s="59">
        <v>42786</v>
      </c>
      <c r="U20" t="s">
        <v>191</v>
      </c>
      <c r="V20" s="89">
        <f>7.92</f>
        <v>7.92</v>
      </c>
      <c r="W20" s="123"/>
      <c r="X20" s="124">
        <v>42792</v>
      </c>
      <c r="Y20" s="123" t="s">
        <v>199</v>
      </c>
      <c r="Z20" s="133">
        <f>10-10</f>
        <v>0</v>
      </c>
      <c r="AA20" s="123"/>
      <c r="AB20" s="124"/>
      <c r="AC20" s="123"/>
      <c r="AD20" s="89"/>
      <c r="AE20" s="123"/>
      <c r="AF20" s="124"/>
      <c r="AG20" s="123"/>
      <c r="AH20" s="89"/>
    </row>
    <row r="21" spans="2:34" ht="16" thickBot="1" x14ac:dyDescent="0.25">
      <c r="B21" s="29" t="s">
        <v>171</v>
      </c>
      <c r="C21" s="22">
        <f>0.1*C6</f>
        <v>270.363</v>
      </c>
      <c r="D21" s="22">
        <f>0.1*D6</f>
        <v>270.363</v>
      </c>
      <c r="F21" s="21" t="s">
        <v>75</v>
      </c>
      <c r="G21" s="3">
        <v>160</v>
      </c>
      <c r="H21" s="10"/>
      <c r="I21" s="45" t="s">
        <v>58</v>
      </c>
      <c r="J21" s="93">
        <f>SUM(G26,J19)</f>
        <v>3210.4449999999997</v>
      </c>
      <c r="T21" s="59">
        <v>42791</v>
      </c>
      <c r="U21" t="s">
        <v>197</v>
      </c>
      <c r="V21" s="89">
        <v>6.22</v>
      </c>
      <c r="W21" s="123"/>
      <c r="X21" s="124">
        <v>42792</v>
      </c>
      <c r="Y21" s="123" t="s">
        <v>134</v>
      </c>
      <c r="Z21" s="133">
        <f>37.5-37.5</f>
        <v>0</v>
      </c>
      <c r="AA21" s="123"/>
      <c r="AB21" s="124"/>
      <c r="AC21" s="123"/>
      <c r="AD21" s="89"/>
      <c r="AE21" s="123"/>
      <c r="AF21" s="124"/>
      <c r="AG21" s="123"/>
      <c r="AH21" s="89"/>
    </row>
    <row r="22" spans="2:34" x14ac:dyDescent="0.2">
      <c r="B22" s="29" t="s">
        <v>29</v>
      </c>
      <c r="C22" s="22">
        <f>0.04*C6</f>
        <v>108.1452</v>
      </c>
      <c r="D22" s="22">
        <f>0.04*D6</f>
        <v>108.1452</v>
      </c>
      <c r="F22" s="21" t="s">
        <v>44</v>
      </c>
      <c r="G22" s="90">
        <f>43.29</f>
        <v>43.29</v>
      </c>
      <c r="H22" s="10"/>
      <c r="I22" s="10"/>
      <c r="J22" s="49"/>
      <c r="T22" s="59">
        <v>42792</v>
      </c>
      <c r="U22" t="s">
        <v>200</v>
      </c>
      <c r="V22" s="133">
        <f>19.64-19.64</f>
        <v>0</v>
      </c>
      <c r="W22" s="123"/>
      <c r="X22" s="124"/>
      <c r="Y22" s="123"/>
      <c r="Z22" s="89"/>
      <c r="AA22" s="123"/>
      <c r="AB22" s="124"/>
      <c r="AC22" s="123"/>
      <c r="AD22" s="89"/>
      <c r="AE22" s="123"/>
      <c r="AF22" s="124"/>
      <c r="AG22" s="123"/>
      <c r="AH22" s="89"/>
    </row>
    <row r="23" spans="2:34" x14ac:dyDescent="0.2">
      <c r="B23" s="31" t="s">
        <v>30</v>
      </c>
      <c r="C23" s="12">
        <f>SUM(C21:C22)</f>
        <v>378.50819999999999</v>
      </c>
      <c r="D23" s="38">
        <f>SUM(D21:D22)</f>
        <v>378.50819999999999</v>
      </c>
      <c r="F23" s="21" t="s">
        <v>45</v>
      </c>
      <c r="G23" s="3">
        <v>5.4</v>
      </c>
      <c r="H23" s="10"/>
      <c r="I23" s="10"/>
      <c r="J23" s="49"/>
      <c r="V23" s="89"/>
      <c r="W23" s="123"/>
      <c r="X23" s="124"/>
      <c r="Y23" s="123"/>
      <c r="Z23" s="89"/>
      <c r="AA23" s="123"/>
      <c r="AB23" s="124"/>
      <c r="AC23" s="123"/>
      <c r="AD23" s="89"/>
      <c r="AE23" s="123"/>
      <c r="AF23" s="124"/>
      <c r="AG23" s="123"/>
      <c r="AH23" s="89"/>
    </row>
    <row r="24" spans="2:34" ht="16" thickBot="1" x14ac:dyDescent="0.25">
      <c r="B24" s="21"/>
      <c r="C24" s="39">
        <f>C23/C6</f>
        <v>0.13999999999999999</v>
      </c>
      <c r="D24" s="40">
        <f>D23/D6</f>
        <v>0.13999999999999999</v>
      </c>
      <c r="F24" s="25" t="s">
        <v>79</v>
      </c>
      <c r="G24" s="90">
        <f>10.81</f>
        <v>10.81</v>
      </c>
      <c r="H24" s="10"/>
      <c r="I24" s="10"/>
      <c r="J24" s="49"/>
      <c r="V24" s="89"/>
      <c r="W24" s="123"/>
      <c r="X24" s="124"/>
      <c r="Y24" s="123"/>
      <c r="Z24" s="89"/>
      <c r="AA24" s="123"/>
      <c r="AB24" s="124"/>
      <c r="AC24" s="123"/>
      <c r="AD24" s="89"/>
      <c r="AE24" s="123"/>
      <c r="AF24" s="124"/>
      <c r="AG24" s="123"/>
      <c r="AH24" s="89"/>
    </row>
    <row r="25" spans="2:34" ht="16" thickBot="1" x14ac:dyDescent="0.25">
      <c r="B25" s="21"/>
      <c r="C25" s="10"/>
      <c r="D25" s="41">
        <f>SUM(C23:D23)</f>
        <v>757.01639999999998</v>
      </c>
      <c r="F25" s="55" t="s">
        <v>50</v>
      </c>
      <c r="G25" s="43">
        <f>SUM(G18:G24)</f>
        <v>1126.8</v>
      </c>
      <c r="H25" s="10"/>
      <c r="I25" s="10"/>
      <c r="J25" s="49"/>
      <c r="V25" s="89"/>
      <c r="W25" s="123"/>
      <c r="X25" s="124"/>
      <c r="Y25" s="123"/>
      <c r="Z25" s="89"/>
      <c r="AA25" s="123"/>
      <c r="AB25" s="124"/>
      <c r="AC25" s="123"/>
      <c r="AD25" s="89"/>
      <c r="AE25" s="123"/>
      <c r="AF25" s="124"/>
      <c r="AG25" s="123"/>
      <c r="AH25" s="89"/>
    </row>
    <row r="26" spans="2:34" x14ac:dyDescent="0.2">
      <c r="B26" s="25"/>
      <c r="C26" s="8"/>
      <c r="D26" s="42">
        <f>D25/SUM(C6:D6)</f>
        <v>0.13999999999999999</v>
      </c>
      <c r="F26" s="94" t="s">
        <v>49</v>
      </c>
      <c r="G26" s="95">
        <f>SUM(G8,G15,G25)</f>
        <v>1904.405</v>
      </c>
      <c r="H26" s="8"/>
      <c r="I26" s="8"/>
      <c r="J26" s="56"/>
      <c r="V26" s="89"/>
      <c r="W26" s="123"/>
      <c r="X26" s="124"/>
      <c r="Y26" s="123"/>
      <c r="Z26" s="89"/>
      <c r="AA26" s="123"/>
      <c r="AB26" s="124"/>
      <c r="AC26" s="123"/>
      <c r="AD26" s="89"/>
      <c r="AE26" s="123"/>
      <c r="AF26" s="124"/>
      <c r="AG26" s="123"/>
      <c r="AH26" s="89"/>
    </row>
    <row r="27" spans="2:34" ht="16" thickBot="1" x14ac:dyDescent="0.25">
      <c r="V27" s="89"/>
      <c r="W27" s="123"/>
      <c r="X27" s="124"/>
      <c r="Y27" s="123"/>
      <c r="Z27" s="89"/>
      <c r="AA27" s="123"/>
      <c r="AB27" s="124"/>
      <c r="AC27" s="123"/>
      <c r="AD27" s="89"/>
      <c r="AE27" s="123"/>
      <c r="AF27" s="124"/>
      <c r="AG27" s="123"/>
      <c r="AH27" s="89"/>
    </row>
    <row r="28" spans="2:34" ht="16" thickBot="1" x14ac:dyDescent="0.25">
      <c r="B28" s="14" t="s">
        <v>31</v>
      </c>
      <c r="C28" s="15">
        <f>C8-C15-C23</f>
        <v>1712.1517999999999</v>
      </c>
      <c r="D28" s="16">
        <f>D8-D15-D23</f>
        <v>9097.1517999999996</v>
      </c>
      <c r="I28" s="14" t="s">
        <v>59</v>
      </c>
      <c r="J28" s="57">
        <f>G5-J21</f>
        <v>27075.589900000003</v>
      </c>
      <c r="V28" s="89"/>
      <c r="W28" s="123"/>
      <c r="X28" s="124"/>
      <c r="Y28" s="123"/>
      <c r="Z28" s="89"/>
      <c r="AA28" s="123"/>
      <c r="AB28" s="124"/>
      <c r="AC28" s="123"/>
      <c r="AD28" s="89"/>
      <c r="AE28" s="123"/>
      <c r="AF28" s="124"/>
      <c r="AG28" s="123"/>
      <c r="AH28" s="89"/>
    </row>
    <row r="29" spans="2:34" ht="16" thickBot="1" x14ac:dyDescent="0.25">
      <c r="D29" s="17">
        <f>SUM(C28:D28)</f>
        <v>10809.303599999999</v>
      </c>
    </row>
    <row r="30" spans="2:34" x14ac:dyDescent="0.2">
      <c r="I30" t="s">
        <v>84</v>
      </c>
      <c r="J30" s="9">
        <f>J28-G2</f>
        <v>7598.8385999999991</v>
      </c>
    </row>
    <row r="31" spans="2:34" x14ac:dyDescent="0.2">
      <c r="D31" s="9"/>
    </row>
    <row r="32" spans="2:34" ht="16" thickBot="1" x14ac:dyDescent="0.25">
      <c r="I32" s="113" t="s">
        <v>86</v>
      </c>
      <c r="J32" s="114"/>
    </row>
    <row r="33" spans="4:10" x14ac:dyDescent="0.2">
      <c r="D33" s="9"/>
      <c r="I33" s="118" t="s">
        <v>66</v>
      </c>
      <c r="J33" s="115">
        <f>SUM(J35:J38)</f>
        <v>280.2</v>
      </c>
    </row>
    <row r="34" spans="4:10" x14ac:dyDescent="0.2">
      <c r="I34" s="25" t="s">
        <v>63</v>
      </c>
      <c r="J34" s="116" t="s">
        <v>64</v>
      </c>
    </row>
    <row r="35" spans="4:10" x14ac:dyDescent="0.2">
      <c r="I35" s="21" t="s">
        <v>164</v>
      </c>
      <c r="J35" s="30">
        <v>6</v>
      </c>
    </row>
    <row r="36" spans="4:10" x14ac:dyDescent="0.2">
      <c r="I36" s="21" t="s">
        <v>198</v>
      </c>
      <c r="J36" s="134">
        <f>8+1-1</f>
        <v>8</v>
      </c>
    </row>
    <row r="37" spans="4:10" x14ac:dyDescent="0.2">
      <c r="I37" s="21" t="s">
        <v>179</v>
      </c>
      <c r="J37" s="121">
        <v>200.2</v>
      </c>
    </row>
    <row r="38" spans="4:10" x14ac:dyDescent="0.2">
      <c r="I38" s="25" t="s">
        <v>182</v>
      </c>
      <c r="J38" s="122">
        <v>66</v>
      </c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L8:M8"/>
    <mergeCell ref="AF7:AG7"/>
    <mergeCell ref="AF8:AG8"/>
    <mergeCell ref="AB8:AC8"/>
    <mergeCell ref="X8:Y8"/>
    <mergeCell ref="T8:U8"/>
    <mergeCell ref="P8:Q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67</v>
      </c>
      <c r="F2" t="s">
        <v>32</v>
      </c>
      <c r="G2" s="2">
        <f>Feb!J28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97</v>
      </c>
      <c r="F2" t="s">
        <v>32</v>
      </c>
      <c r="G2" s="2">
        <f>Mar!J28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7</v>
      </c>
      <c r="F2" t="s">
        <v>32</v>
      </c>
      <c r="G2" s="2">
        <f>Apr!J28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99</v>
      </c>
      <c r="F2" t="s">
        <v>32</v>
      </c>
      <c r="G2" s="2">
        <f>May!J28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>
      <selection activeCell="B5" sqref="B5:D22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100</v>
      </c>
      <c r="F2" t="s">
        <v>32</v>
      </c>
      <c r="G2" s="2">
        <f>Jun!J28</f>
        <v>27075.589900000003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6" t="s">
        <v>88</v>
      </c>
      <c r="M4" s="126"/>
      <c r="N4" s="9">
        <f>150-N8</f>
        <v>150</v>
      </c>
      <c r="P4" s="126" t="s">
        <v>89</v>
      </c>
      <c r="Q4" s="126"/>
      <c r="R4" s="9">
        <f>100-R8</f>
        <v>100</v>
      </c>
      <c r="T4" s="126" t="s">
        <v>90</v>
      </c>
      <c r="U4" s="126"/>
      <c r="V4" s="9">
        <f>200-V8</f>
        <v>200</v>
      </c>
      <c r="X4" s="126" t="s">
        <v>91</v>
      </c>
      <c r="Y4" s="126"/>
      <c r="Z4" s="9">
        <f>100-Z8</f>
        <v>100</v>
      </c>
      <c r="AB4" s="126" t="s">
        <v>92</v>
      </c>
      <c r="AC4" s="126"/>
      <c r="AD4" s="9">
        <f>100-AD8</f>
        <v>100</v>
      </c>
      <c r="AF4" s="126" t="s">
        <v>93</v>
      </c>
      <c r="AG4" s="126"/>
      <c r="AH4" s="9">
        <f>300-AH8</f>
        <v>300</v>
      </c>
      <c r="AJ4" s="126"/>
      <c r="AK4" s="126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27075.589900000003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9" t="s">
        <v>61</v>
      </c>
      <c r="M6" s="129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30" t="s">
        <v>47</v>
      </c>
      <c r="M7" s="130"/>
      <c r="P7" s="131" t="s">
        <v>46</v>
      </c>
      <c r="Q7" s="131"/>
      <c r="T7" s="131" t="s">
        <v>53</v>
      </c>
      <c r="U7" s="131"/>
      <c r="X7" s="131" t="s">
        <v>54</v>
      </c>
      <c r="Y7" s="131"/>
      <c r="AB7" s="131" t="s">
        <v>65</v>
      </c>
      <c r="AC7" s="131"/>
      <c r="AF7" s="131" t="s">
        <v>94</v>
      </c>
      <c r="AG7" s="131"/>
      <c r="AI7" s="10"/>
      <c r="AJ7" s="127"/>
      <c r="AK7" s="127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32" t="s">
        <v>66</v>
      </c>
      <c r="M8" s="132"/>
      <c r="N8" s="60">
        <f>SUM(N10:N50)</f>
        <v>0</v>
      </c>
      <c r="P8" s="132" t="s">
        <v>66</v>
      </c>
      <c r="Q8" s="132"/>
      <c r="R8" s="60">
        <f>SUM(R10:R50)</f>
        <v>0</v>
      </c>
      <c r="T8" s="132" t="s">
        <v>66</v>
      </c>
      <c r="U8" s="132"/>
      <c r="V8" s="60">
        <f>SUM(V10:V50)</f>
        <v>0</v>
      </c>
      <c r="X8" s="132" t="s">
        <v>66</v>
      </c>
      <c r="Y8" s="132"/>
      <c r="Z8" s="60">
        <f>SUM(Z10:Z50)</f>
        <v>0</v>
      </c>
      <c r="AB8" s="132" t="s">
        <v>66</v>
      </c>
      <c r="AC8" s="132"/>
      <c r="AD8" s="60">
        <f>SUM(AD10:AD50)</f>
        <v>0</v>
      </c>
      <c r="AF8" s="132" t="s">
        <v>66</v>
      </c>
      <c r="AG8" s="132"/>
      <c r="AH8" s="60">
        <f>SUM(AH10:AH50)</f>
        <v>0</v>
      </c>
      <c r="AI8" s="10"/>
      <c r="AJ8" s="128"/>
      <c r="AK8" s="128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0.062*C8</f>
        <v>0</v>
      </c>
      <c r="D13" s="30">
        <f>0.062*D8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0.0145*C8</f>
        <v>0</v>
      </c>
      <c r="D14" s="30">
        <f>0.0145*D8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171</v>
      </c>
      <c r="C21" s="22">
        <f>0.1*C6</f>
        <v>0</v>
      </c>
      <c r="D21" s="22">
        <f>0.1*D6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27075.589900000003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2017-02-27T21:26:23Z</dcterms:modified>
</cp:coreProperties>
</file>