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chris_giron/Documents/WorkSpace/Docs/"/>
    </mc:Choice>
  </mc:AlternateContent>
  <bookViews>
    <workbookView xWindow="0" yWindow="460" windowWidth="28800" windowHeight="17440"/>
  </bookViews>
  <sheets>
    <sheet name="Monthly Breakdown" sheetId="1" r:id="rId1"/>
    <sheet name="Savings" sheetId="15"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H16" i="4" l="1"/>
  <c r="AD13" i="5"/>
  <c r="G24" i="5"/>
  <c r="V15" i="5"/>
  <c r="V14" i="5"/>
  <c r="Z13" i="5"/>
  <c r="AD12" i="5"/>
  <c r="N13" i="5"/>
  <c r="J17" i="5"/>
  <c r="V13" i="5"/>
  <c r="AH11" i="5"/>
  <c r="N12" i="5"/>
  <c r="Z12" i="5"/>
  <c r="N11" i="5"/>
  <c r="G15" i="5"/>
  <c r="G12" i="5"/>
  <c r="G11" i="5"/>
  <c r="AH10" i="5"/>
  <c r="AD8" i="5"/>
  <c r="V23" i="4"/>
  <c r="V22" i="4"/>
  <c r="Z20" i="4"/>
  <c r="J36" i="4"/>
  <c r="Z21" i="4"/>
  <c r="V20" i="4"/>
  <c r="Z19" i="4"/>
  <c r="V19" i="4"/>
  <c r="Z17" i="4"/>
  <c r="Z16" i="4"/>
  <c r="AH14" i="4"/>
  <c r="AH13" i="4"/>
  <c r="V13" i="4"/>
  <c r="AH12" i="4"/>
  <c r="Z11" i="4"/>
  <c r="V11" i="4"/>
  <c r="N11" i="4"/>
  <c r="AH10" i="4"/>
  <c r="AD10" i="4"/>
  <c r="V10" i="4"/>
  <c r="R10" i="4"/>
  <c r="N10" i="4"/>
  <c r="J17" i="4"/>
  <c r="G24" i="4"/>
  <c r="G22" i="4"/>
  <c r="G13" i="4"/>
  <c r="G12" i="4"/>
  <c r="G11" i="4"/>
  <c r="G4" i="4"/>
  <c r="J17" i="3"/>
  <c r="V32" i="3"/>
  <c r="V31" i="3"/>
  <c r="V30" i="3"/>
  <c r="V29" i="3"/>
  <c r="V26" i="3"/>
  <c r="V25" i="3"/>
  <c r="AH21" i="3"/>
  <c r="AH19" i="3"/>
  <c r="AH18" i="3"/>
  <c r="Z15" i="3"/>
  <c r="Z14" i="3"/>
  <c r="AH13" i="3"/>
  <c r="N13" i="3"/>
  <c r="AH12" i="3"/>
  <c r="R12" i="3"/>
  <c r="AH11" i="3"/>
  <c r="AD11" i="3"/>
  <c r="AD10" i="3"/>
  <c r="J37" i="3"/>
  <c r="J35" i="3"/>
  <c r="G13" i="3"/>
  <c r="G12" i="3"/>
  <c r="G11" i="3"/>
  <c r="G4" i="3"/>
  <c r="J33" i="14"/>
  <c r="I18" i="14"/>
  <c r="I32" i="14"/>
  <c r="C8" i="14"/>
  <c r="C12" i="14"/>
  <c r="C13" i="14"/>
  <c r="C14" i="14"/>
  <c r="C15" i="14"/>
  <c r="C21" i="14"/>
  <c r="C22" i="14"/>
  <c r="C23" i="14"/>
  <c r="C28" i="14"/>
  <c r="D8" i="14"/>
  <c r="D12" i="14"/>
  <c r="D13" i="14"/>
  <c r="D14" i="14"/>
  <c r="D15" i="14"/>
  <c r="D21" i="14"/>
  <c r="D22" i="14"/>
  <c r="D23" i="14"/>
  <c r="D28" i="14"/>
  <c r="D29" i="14"/>
  <c r="G3" i="14"/>
  <c r="G2" i="3"/>
  <c r="C8" i="3"/>
  <c r="C15" i="3"/>
  <c r="C22" i="3"/>
  <c r="C23" i="3"/>
  <c r="C28" i="3"/>
  <c r="D15" i="3"/>
  <c r="D8" i="3"/>
  <c r="D22" i="3"/>
  <c r="D23" i="3"/>
  <c r="D28" i="3"/>
  <c r="D29" i="3"/>
  <c r="G3" i="3"/>
  <c r="G5" i="3"/>
  <c r="G15" i="3"/>
  <c r="G25" i="3"/>
  <c r="G26" i="3"/>
  <c r="J33" i="3"/>
  <c r="J18" i="3"/>
  <c r="N8" i="3"/>
  <c r="J11" i="3"/>
  <c r="R8" i="3"/>
  <c r="J12" i="3"/>
  <c r="V8" i="3"/>
  <c r="J13" i="3"/>
  <c r="Z8" i="3"/>
  <c r="J14" i="3"/>
  <c r="AD8" i="3"/>
  <c r="J15" i="3"/>
  <c r="AH8" i="3"/>
  <c r="J16" i="3"/>
  <c r="J19" i="3"/>
  <c r="J21" i="3"/>
  <c r="J28" i="3"/>
  <c r="G2" i="4"/>
  <c r="C8" i="4"/>
  <c r="C15" i="4"/>
  <c r="C21" i="4"/>
  <c r="C22" i="4"/>
  <c r="C23" i="4"/>
  <c r="C28" i="4"/>
  <c r="D8" i="4"/>
  <c r="D15" i="4"/>
  <c r="D21" i="4"/>
  <c r="D22" i="4"/>
  <c r="D23" i="4"/>
  <c r="D28" i="4"/>
  <c r="D29" i="4"/>
  <c r="G3" i="4"/>
  <c r="G5" i="4"/>
  <c r="G15" i="4"/>
  <c r="G25" i="4"/>
  <c r="G26" i="4"/>
  <c r="J33" i="4"/>
  <c r="J18" i="4"/>
  <c r="N8" i="4"/>
  <c r="J11" i="4"/>
  <c r="R8" i="4"/>
  <c r="J12" i="4"/>
  <c r="V8" i="4"/>
  <c r="J13" i="4"/>
  <c r="Z8" i="4"/>
  <c r="J14" i="4"/>
  <c r="AD8" i="4"/>
  <c r="J15" i="4"/>
  <c r="AH8" i="4"/>
  <c r="J16" i="4"/>
  <c r="J19" i="4"/>
  <c r="J21" i="4"/>
  <c r="J28" i="4"/>
  <c r="G2" i="5"/>
  <c r="C8" i="5"/>
  <c r="C15" i="5"/>
  <c r="C21" i="5"/>
  <c r="C22" i="5"/>
  <c r="C23" i="5"/>
  <c r="C28" i="5"/>
  <c r="D29" i="5"/>
  <c r="G3" i="5"/>
  <c r="G5" i="5"/>
  <c r="N8" i="5"/>
  <c r="J11" i="5"/>
  <c r="J15" i="5"/>
  <c r="Z8" i="5"/>
  <c r="J14" i="5"/>
  <c r="V8" i="5"/>
  <c r="J13" i="5"/>
  <c r="AH8" i="5"/>
  <c r="J16" i="5"/>
  <c r="R8" i="5"/>
  <c r="J12" i="5"/>
  <c r="J19" i="5"/>
  <c r="G25" i="5"/>
  <c r="G26" i="5"/>
  <c r="J21" i="5"/>
  <c r="J28" i="5"/>
  <c r="G2" i="6"/>
  <c r="G5" i="6"/>
  <c r="J28" i="6"/>
  <c r="G2" i="7"/>
  <c r="G5" i="7"/>
  <c r="J28" i="7"/>
  <c r="G2" i="8"/>
  <c r="G5" i="8"/>
  <c r="J28" i="8"/>
  <c r="G2" i="9"/>
  <c r="G5" i="9"/>
  <c r="J28" i="9"/>
  <c r="G2" i="10"/>
  <c r="G5" i="10"/>
  <c r="J28" i="10"/>
  <c r="G2" i="11"/>
  <c r="G5" i="11"/>
  <c r="J28" i="11"/>
  <c r="G2" i="12"/>
  <c r="G5" i="12"/>
  <c r="J28" i="12"/>
  <c r="G2" i="13"/>
  <c r="G5" i="13"/>
  <c r="J28" i="13"/>
  <c r="G2" i="14"/>
  <c r="G5" i="14"/>
  <c r="G15" i="14"/>
  <c r="G25" i="14"/>
  <c r="G26" i="14"/>
  <c r="N8" i="14"/>
  <c r="J11" i="14"/>
  <c r="R8" i="14"/>
  <c r="J12" i="14"/>
  <c r="V8" i="14"/>
  <c r="J13" i="14"/>
  <c r="Z8" i="14"/>
  <c r="J14" i="14"/>
  <c r="AD8" i="14"/>
  <c r="J15" i="14"/>
  <c r="AH8" i="14"/>
  <c r="J16" i="14"/>
  <c r="J18" i="14"/>
  <c r="J19" i="14"/>
  <c r="J21" i="14"/>
  <c r="J28" i="14"/>
  <c r="J30" i="14"/>
  <c r="D25" i="14"/>
  <c r="D26" i="14"/>
  <c r="F24" i="14"/>
  <c r="D24" i="14"/>
  <c r="C24" i="14"/>
  <c r="F23" i="14"/>
  <c r="F22" i="14"/>
  <c r="B22" i="14"/>
  <c r="F21" i="14"/>
  <c r="B21" i="14"/>
  <c r="F20" i="14"/>
  <c r="F19" i="14"/>
  <c r="F18" i="14"/>
  <c r="D17" i="14"/>
  <c r="D9" i="14"/>
  <c r="D18" i="14"/>
  <c r="I17" i="14"/>
  <c r="I16" i="14"/>
  <c r="D16" i="14"/>
  <c r="C16" i="14"/>
  <c r="I15" i="14"/>
  <c r="I14" i="14"/>
  <c r="F14" i="14"/>
  <c r="B14" i="14"/>
  <c r="I13" i="14"/>
  <c r="F13" i="14"/>
  <c r="B13" i="14"/>
  <c r="I12" i="14"/>
  <c r="F12" i="14"/>
  <c r="B12" i="14"/>
  <c r="I11" i="14"/>
  <c r="F11" i="14"/>
  <c r="F8" i="14"/>
  <c r="AF7" i="14"/>
  <c r="AB7" i="14"/>
  <c r="X7" i="14"/>
  <c r="T7" i="14"/>
  <c r="P7" i="14"/>
  <c r="L7" i="14"/>
  <c r="AH4" i="14"/>
  <c r="AF4" i="14"/>
  <c r="AD4" i="14"/>
  <c r="AB4" i="14"/>
  <c r="Z4" i="14"/>
  <c r="X4" i="14"/>
  <c r="V4" i="14"/>
  <c r="T4" i="14"/>
  <c r="R4" i="14"/>
  <c r="P4" i="14"/>
  <c r="N4" i="14"/>
  <c r="L4" i="14"/>
  <c r="J4" i="14"/>
  <c r="C3" i="14"/>
  <c r="J33" i="13"/>
  <c r="I18" i="13"/>
  <c r="I32" i="13"/>
  <c r="C8" i="13"/>
  <c r="C12" i="13"/>
  <c r="C13" i="13"/>
  <c r="C14" i="13"/>
  <c r="C15" i="13"/>
  <c r="C21" i="13"/>
  <c r="C22" i="13"/>
  <c r="C23" i="13"/>
  <c r="C28" i="13"/>
  <c r="D8" i="13"/>
  <c r="D12" i="13"/>
  <c r="D13" i="13"/>
  <c r="D14" i="13"/>
  <c r="D15" i="13"/>
  <c r="D21" i="13"/>
  <c r="D22" i="13"/>
  <c r="D23" i="13"/>
  <c r="D28" i="13"/>
  <c r="D29" i="13"/>
  <c r="G3" i="13"/>
  <c r="G15" i="13"/>
  <c r="G25" i="13"/>
  <c r="G26" i="13"/>
  <c r="N8" i="13"/>
  <c r="J11" i="13"/>
  <c r="R8" i="13"/>
  <c r="J12" i="13"/>
  <c r="V8" i="13"/>
  <c r="J13" i="13"/>
  <c r="Z8" i="13"/>
  <c r="J14" i="13"/>
  <c r="AD8" i="13"/>
  <c r="J15" i="13"/>
  <c r="AH8" i="13"/>
  <c r="J16" i="13"/>
  <c r="J18" i="13"/>
  <c r="J19" i="13"/>
  <c r="J21" i="13"/>
  <c r="J30" i="13"/>
  <c r="D25" i="13"/>
  <c r="D26" i="13"/>
  <c r="F24" i="13"/>
  <c r="D24" i="13"/>
  <c r="C24" i="13"/>
  <c r="F23" i="13"/>
  <c r="F22" i="13"/>
  <c r="B22" i="13"/>
  <c r="F21" i="13"/>
  <c r="B21" i="13"/>
  <c r="F20" i="13"/>
  <c r="F19" i="13"/>
  <c r="F18" i="13"/>
  <c r="D17" i="13"/>
  <c r="D9" i="13"/>
  <c r="D18" i="13"/>
  <c r="I17" i="13"/>
  <c r="I16" i="13"/>
  <c r="D16" i="13"/>
  <c r="C16" i="13"/>
  <c r="I15" i="13"/>
  <c r="I14" i="13"/>
  <c r="F14" i="13"/>
  <c r="B14" i="13"/>
  <c r="I13" i="13"/>
  <c r="F13" i="13"/>
  <c r="B13" i="13"/>
  <c r="I12" i="13"/>
  <c r="F12" i="13"/>
  <c r="B12" i="13"/>
  <c r="I11" i="13"/>
  <c r="F11" i="13"/>
  <c r="F8" i="13"/>
  <c r="AF7" i="13"/>
  <c r="AB7" i="13"/>
  <c r="X7" i="13"/>
  <c r="T7" i="13"/>
  <c r="P7" i="13"/>
  <c r="L7" i="13"/>
  <c r="AH4" i="13"/>
  <c r="AF4" i="13"/>
  <c r="AD4" i="13"/>
  <c r="AB4" i="13"/>
  <c r="Z4" i="13"/>
  <c r="X4" i="13"/>
  <c r="V4" i="13"/>
  <c r="T4" i="13"/>
  <c r="R4" i="13"/>
  <c r="P4" i="13"/>
  <c r="N4" i="13"/>
  <c r="L4" i="13"/>
  <c r="J4" i="13"/>
  <c r="C3" i="13"/>
  <c r="J33" i="12"/>
  <c r="I18" i="12"/>
  <c r="I32" i="12"/>
  <c r="C8" i="12"/>
  <c r="C12" i="12"/>
  <c r="C13" i="12"/>
  <c r="C14" i="12"/>
  <c r="C15" i="12"/>
  <c r="C21" i="12"/>
  <c r="C22" i="12"/>
  <c r="C23" i="12"/>
  <c r="C28" i="12"/>
  <c r="D8" i="12"/>
  <c r="D12" i="12"/>
  <c r="D13" i="12"/>
  <c r="D14" i="12"/>
  <c r="D15" i="12"/>
  <c r="D21" i="12"/>
  <c r="D22" i="12"/>
  <c r="D23" i="12"/>
  <c r="D28" i="12"/>
  <c r="D29" i="12"/>
  <c r="G3" i="12"/>
  <c r="G15" i="12"/>
  <c r="G25" i="12"/>
  <c r="G26" i="12"/>
  <c r="N8" i="12"/>
  <c r="J11" i="12"/>
  <c r="R8" i="12"/>
  <c r="J12" i="12"/>
  <c r="V8" i="12"/>
  <c r="J13" i="12"/>
  <c r="Z8" i="12"/>
  <c r="J14" i="12"/>
  <c r="AD8" i="12"/>
  <c r="J15" i="12"/>
  <c r="AH8" i="12"/>
  <c r="J16" i="12"/>
  <c r="J18" i="12"/>
  <c r="J19" i="12"/>
  <c r="J21" i="12"/>
  <c r="J30" i="12"/>
  <c r="D25" i="12"/>
  <c r="D26" i="12"/>
  <c r="F24" i="12"/>
  <c r="D24" i="12"/>
  <c r="C24" i="12"/>
  <c r="F23" i="12"/>
  <c r="F22" i="12"/>
  <c r="B22" i="12"/>
  <c r="F21" i="12"/>
  <c r="B21" i="12"/>
  <c r="F20" i="12"/>
  <c r="F19" i="12"/>
  <c r="F18" i="12"/>
  <c r="D17" i="12"/>
  <c r="D9" i="12"/>
  <c r="D18" i="12"/>
  <c r="I17" i="12"/>
  <c r="I16" i="12"/>
  <c r="D16" i="12"/>
  <c r="C16" i="12"/>
  <c r="I15" i="12"/>
  <c r="I14" i="12"/>
  <c r="F14" i="12"/>
  <c r="B14" i="12"/>
  <c r="I13" i="12"/>
  <c r="F13" i="12"/>
  <c r="B13" i="12"/>
  <c r="I12" i="12"/>
  <c r="F12" i="12"/>
  <c r="B12" i="12"/>
  <c r="I11" i="12"/>
  <c r="F11" i="12"/>
  <c r="F8" i="12"/>
  <c r="AF7" i="12"/>
  <c r="AB7" i="12"/>
  <c r="X7" i="12"/>
  <c r="T7" i="12"/>
  <c r="P7" i="12"/>
  <c r="L7" i="12"/>
  <c r="AH4" i="12"/>
  <c r="AF4" i="12"/>
  <c r="AD4" i="12"/>
  <c r="AB4" i="12"/>
  <c r="Z4" i="12"/>
  <c r="X4" i="12"/>
  <c r="V4" i="12"/>
  <c r="T4" i="12"/>
  <c r="R4" i="12"/>
  <c r="P4" i="12"/>
  <c r="N4" i="12"/>
  <c r="L4" i="12"/>
  <c r="J4" i="12"/>
  <c r="C3" i="12"/>
  <c r="J33" i="11"/>
  <c r="I18" i="11"/>
  <c r="I32" i="11"/>
  <c r="C8" i="11"/>
  <c r="C12" i="11"/>
  <c r="C13" i="11"/>
  <c r="C14" i="11"/>
  <c r="C15" i="11"/>
  <c r="C21" i="11"/>
  <c r="C22" i="11"/>
  <c r="C23" i="11"/>
  <c r="C28" i="11"/>
  <c r="D8" i="11"/>
  <c r="D12" i="11"/>
  <c r="D13" i="11"/>
  <c r="D14" i="11"/>
  <c r="D15" i="11"/>
  <c r="D21" i="11"/>
  <c r="D22" i="11"/>
  <c r="D23" i="11"/>
  <c r="D28" i="11"/>
  <c r="D29" i="11"/>
  <c r="G3" i="11"/>
  <c r="G15" i="11"/>
  <c r="G25" i="11"/>
  <c r="G26" i="11"/>
  <c r="N8" i="11"/>
  <c r="J11" i="11"/>
  <c r="R8" i="11"/>
  <c r="J12" i="11"/>
  <c r="V8" i="11"/>
  <c r="J13" i="11"/>
  <c r="Z8" i="11"/>
  <c r="J14" i="11"/>
  <c r="AD8" i="11"/>
  <c r="J15" i="11"/>
  <c r="AH8" i="11"/>
  <c r="J16" i="11"/>
  <c r="J18" i="11"/>
  <c r="J19" i="11"/>
  <c r="J21" i="11"/>
  <c r="J30" i="11"/>
  <c r="D25" i="11"/>
  <c r="D26" i="11"/>
  <c r="F24" i="11"/>
  <c r="D24" i="11"/>
  <c r="C24" i="11"/>
  <c r="F23" i="11"/>
  <c r="F22" i="11"/>
  <c r="B22" i="11"/>
  <c r="F21" i="11"/>
  <c r="B21" i="11"/>
  <c r="F20" i="11"/>
  <c r="F19" i="11"/>
  <c r="F18" i="11"/>
  <c r="D17" i="11"/>
  <c r="D9" i="11"/>
  <c r="D18" i="11"/>
  <c r="I17" i="11"/>
  <c r="I16" i="11"/>
  <c r="D16" i="11"/>
  <c r="C16" i="11"/>
  <c r="I15" i="11"/>
  <c r="I14" i="11"/>
  <c r="F14" i="11"/>
  <c r="B14" i="11"/>
  <c r="I13" i="11"/>
  <c r="F13" i="11"/>
  <c r="B13" i="11"/>
  <c r="I12" i="11"/>
  <c r="F12" i="11"/>
  <c r="B12" i="11"/>
  <c r="I11" i="11"/>
  <c r="F11" i="11"/>
  <c r="F8" i="11"/>
  <c r="AF7" i="11"/>
  <c r="AB7" i="11"/>
  <c r="X7" i="11"/>
  <c r="T7" i="11"/>
  <c r="P7" i="11"/>
  <c r="L7" i="11"/>
  <c r="AH4" i="11"/>
  <c r="AF4" i="11"/>
  <c r="AD4" i="11"/>
  <c r="AB4" i="11"/>
  <c r="Z4" i="11"/>
  <c r="X4" i="11"/>
  <c r="V4" i="11"/>
  <c r="T4" i="11"/>
  <c r="R4" i="11"/>
  <c r="P4" i="11"/>
  <c r="N4" i="11"/>
  <c r="L4" i="11"/>
  <c r="J4" i="11"/>
  <c r="C3" i="11"/>
  <c r="J33" i="10"/>
  <c r="I18" i="10"/>
  <c r="I32" i="10"/>
  <c r="C8" i="10"/>
  <c r="C12" i="10"/>
  <c r="C13" i="10"/>
  <c r="C14" i="10"/>
  <c r="C15" i="10"/>
  <c r="C21" i="10"/>
  <c r="C22" i="10"/>
  <c r="C23" i="10"/>
  <c r="C28" i="10"/>
  <c r="D8" i="10"/>
  <c r="D12" i="10"/>
  <c r="D13" i="10"/>
  <c r="D14" i="10"/>
  <c r="D15" i="10"/>
  <c r="D21" i="10"/>
  <c r="D22" i="10"/>
  <c r="D23" i="10"/>
  <c r="D28" i="10"/>
  <c r="D29" i="10"/>
  <c r="G3" i="10"/>
  <c r="G15" i="10"/>
  <c r="G25" i="10"/>
  <c r="G26" i="10"/>
  <c r="N8" i="10"/>
  <c r="J11" i="10"/>
  <c r="R8" i="10"/>
  <c r="J12" i="10"/>
  <c r="V8" i="10"/>
  <c r="J13" i="10"/>
  <c r="Z8" i="10"/>
  <c r="J14" i="10"/>
  <c r="AD8" i="10"/>
  <c r="J15" i="10"/>
  <c r="AH8" i="10"/>
  <c r="J16" i="10"/>
  <c r="J18" i="10"/>
  <c r="J19" i="10"/>
  <c r="J21" i="10"/>
  <c r="J30" i="10"/>
  <c r="D25" i="10"/>
  <c r="D26" i="10"/>
  <c r="F24" i="10"/>
  <c r="D24" i="10"/>
  <c r="C24" i="10"/>
  <c r="F23" i="10"/>
  <c r="F22" i="10"/>
  <c r="B22" i="10"/>
  <c r="F21" i="10"/>
  <c r="B21" i="10"/>
  <c r="F20" i="10"/>
  <c r="F19" i="10"/>
  <c r="F18" i="10"/>
  <c r="D17" i="10"/>
  <c r="D9" i="10"/>
  <c r="D18" i="10"/>
  <c r="I17" i="10"/>
  <c r="I16" i="10"/>
  <c r="D16" i="10"/>
  <c r="C16" i="10"/>
  <c r="I15" i="10"/>
  <c r="I14" i="10"/>
  <c r="F14" i="10"/>
  <c r="B14" i="10"/>
  <c r="I13" i="10"/>
  <c r="F13" i="10"/>
  <c r="B13" i="10"/>
  <c r="I12" i="10"/>
  <c r="F12" i="10"/>
  <c r="B12" i="10"/>
  <c r="I11" i="10"/>
  <c r="F11" i="10"/>
  <c r="F8" i="10"/>
  <c r="AF7" i="10"/>
  <c r="AB7" i="10"/>
  <c r="X7" i="10"/>
  <c r="T7" i="10"/>
  <c r="P7" i="10"/>
  <c r="L7" i="10"/>
  <c r="AH4" i="10"/>
  <c r="AF4" i="10"/>
  <c r="AD4" i="10"/>
  <c r="AB4" i="10"/>
  <c r="Z4" i="10"/>
  <c r="X4" i="10"/>
  <c r="V4" i="10"/>
  <c r="T4" i="10"/>
  <c r="R4" i="10"/>
  <c r="P4" i="10"/>
  <c r="N4" i="10"/>
  <c r="L4" i="10"/>
  <c r="J4" i="10"/>
  <c r="C3" i="10"/>
  <c r="J33" i="9"/>
  <c r="I18" i="9"/>
  <c r="I32" i="9"/>
  <c r="C8" i="9"/>
  <c r="C12" i="9"/>
  <c r="C13" i="9"/>
  <c r="C14" i="9"/>
  <c r="C15" i="9"/>
  <c r="C21" i="9"/>
  <c r="C22" i="9"/>
  <c r="C23" i="9"/>
  <c r="C28" i="9"/>
  <c r="D8" i="9"/>
  <c r="D12" i="9"/>
  <c r="D13" i="9"/>
  <c r="D14" i="9"/>
  <c r="D15" i="9"/>
  <c r="D21" i="9"/>
  <c r="D22" i="9"/>
  <c r="D23" i="9"/>
  <c r="D28" i="9"/>
  <c r="D29" i="9"/>
  <c r="G3" i="9"/>
  <c r="G15" i="9"/>
  <c r="G25" i="9"/>
  <c r="G26" i="9"/>
  <c r="N8" i="9"/>
  <c r="J11" i="9"/>
  <c r="R8" i="9"/>
  <c r="J12" i="9"/>
  <c r="V8" i="9"/>
  <c r="J13" i="9"/>
  <c r="Z8" i="9"/>
  <c r="J14" i="9"/>
  <c r="AD8" i="9"/>
  <c r="J15" i="9"/>
  <c r="AH8" i="9"/>
  <c r="J16" i="9"/>
  <c r="J18" i="9"/>
  <c r="J19" i="9"/>
  <c r="J21" i="9"/>
  <c r="J30" i="9"/>
  <c r="D25" i="9"/>
  <c r="D26" i="9"/>
  <c r="F24" i="9"/>
  <c r="D24" i="9"/>
  <c r="C24" i="9"/>
  <c r="F23" i="9"/>
  <c r="F22" i="9"/>
  <c r="B22" i="9"/>
  <c r="F21" i="9"/>
  <c r="B21" i="9"/>
  <c r="F20" i="9"/>
  <c r="F19" i="9"/>
  <c r="F18" i="9"/>
  <c r="D17" i="9"/>
  <c r="D9" i="9"/>
  <c r="D18" i="9"/>
  <c r="I17" i="9"/>
  <c r="I16" i="9"/>
  <c r="D16" i="9"/>
  <c r="C16" i="9"/>
  <c r="I15" i="9"/>
  <c r="I14" i="9"/>
  <c r="F14" i="9"/>
  <c r="B14" i="9"/>
  <c r="I13" i="9"/>
  <c r="F13" i="9"/>
  <c r="B13" i="9"/>
  <c r="I12" i="9"/>
  <c r="F12" i="9"/>
  <c r="B12" i="9"/>
  <c r="I11" i="9"/>
  <c r="F11" i="9"/>
  <c r="F8" i="9"/>
  <c r="AF7" i="9"/>
  <c r="AB7" i="9"/>
  <c r="X7" i="9"/>
  <c r="T7" i="9"/>
  <c r="P7" i="9"/>
  <c r="L7" i="9"/>
  <c r="AH4" i="9"/>
  <c r="AF4" i="9"/>
  <c r="AD4" i="9"/>
  <c r="AB4" i="9"/>
  <c r="Z4" i="9"/>
  <c r="X4" i="9"/>
  <c r="V4" i="9"/>
  <c r="T4" i="9"/>
  <c r="R4" i="9"/>
  <c r="P4" i="9"/>
  <c r="N4" i="9"/>
  <c r="L4" i="9"/>
  <c r="J4" i="9"/>
  <c r="C3" i="9"/>
  <c r="J33" i="8"/>
  <c r="I18" i="8"/>
  <c r="I32" i="8"/>
  <c r="C8" i="8"/>
  <c r="C12" i="8"/>
  <c r="C13" i="8"/>
  <c r="C14" i="8"/>
  <c r="C15" i="8"/>
  <c r="C21" i="8"/>
  <c r="C22" i="8"/>
  <c r="C23" i="8"/>
  <c r="C28" i="8"/>
  <c r="D8" i="8"/>
  <c r="D12" i="8"/>
  <c r="D13" i="8"/>
  <c r="D14" i="8"/>
  <c r="D15" i="8"/>
  <c r="D21" i="8"/>
  <c r="D22" i="8"/>
  <c r="D23" i="8"/>
  <c r="D28" i="8"/>
  <c r="D29" i="8"/>
  <c r="G3" i="8"/>
  <c r="G15" i="8"/>
  <c r="G25" i="8"/>
  <c r="G26" i="8"/>
  <c r="N8" i="8"/>
  <c r="J11" i="8"/>
  <c r="R8" i="8"/>
  <c r="J12" i="8"/>
  <c r="V8" i="8"/>
  <c r="J13" i="8"/>
  <c r="Z8" i="8"/>
  <c r="J14" i="8"/>
  <c r="AD8" i="8"/>
  <c r="J15" i="8"/>
  <c r="AH8" i="8"/>
  <c r="J16" i="8"/>
  <c r="J18" i="8"/>
  <c r="J19" i="8"/>
  <c r="J21" i="8"/>
  <c r="J30" i="8"/>
  <c r="D25" i="8"/>
  <c r="D26" i="8"/>
  <c r="F24" i="8"/>
  <c r="D24" i="8"/>
  <c r="C24" i="8"/>
  <c r="F23" i="8"/>
  <c r="F22" i="8"/>
  <c r="B22" i="8"/>
  <c r="F21" i="8"/>
  <c r="B21" i="8"/>
  <c r="F20" i="8"/>
  <c r="F19" i="8"/>
  <c r="F18" i="8"/>
  <c r="D17" i="8"/>
  <c r="D9" i="8"/>
  <c r="D18" i="8"/>
  <c r="I17" i="8"/>
  <c r="I16" i="8"/>
  <c r="D16" i="8"/>
  <c r="C16" i="8"/>
  <c r="I15" i="8"/>
  <c r="I14" i="8"/>
  <c r="F14" i="8"/>
  <c r="B14" i="8"/>
  <c r="I13" i="8"/>
  <c r="F13" i="8"/>
  <c r="B13" i="8"/>
  <c r="I12" i="8"/>
  <c r="F12" i="8"/>
  <c r="B12" i="8"/>
  <c r="I11" i="8"/>
  <c r="F11" i="8"/>
  <c r="F8" i="8"/>
  <c r="AF7" i="8"/>
  <c r="AB7" i="8"/>
  <c r="X7" i="8"/>
  <c r="T7" i="8"/>
  <c r="P7" i="8"/>
  <c r="L7" i="8"/>
  <c r="AH4" i="8"/>
  <c r="AF4" i="8"/>
  <c r="AD4" i="8"/>
  <c r="AB4" i="8"/>
  <c r="Z4" i="8"/>
  <c r="X4" i="8"/>
  <c r="V4" i="8"/>
  <c r="T4" i="8"/>
  <c r="R4" i="8"/>
  <c r="P4" i="8"/>
  <c r="N4" i="8"/>
  <c r="L4" i="8"/>
  <c r="J4" i="8"/>
  <c r="C3" i="8"/>
  <c r="J33" i="7"/>
  <c r="I18" i="7"/>
  <c r="I32" i="7"/>
  <c r="C8" i="7"/>
  <c r="C12" i="7"/>
  <c r="C13" i="7"/>
  <c r="C14" i="7"/>
  <c r="C15" i="7"/>
  <c r="C21" i="7"/>
  <c r="C22" i="7"/>
  <c r="C23" i="7"/>
  <c r="C28" i="7"/>
  <c r="D8" i="7"/>
  <c r="D12" i="7"/>
  <c r="D13" i="7"/>
  <c r="D14" i="7"/>
  <c r="D15" i="7"/>
  <c r="D21" i="7"/>
  <c r="D22" i="7"/>
  <c r="D23" i="7"/>
  <c r="D28" i="7"/>
  <c r="D29" i="7"/>
  <c r="G3" i="7"/>
  <c r="G15" i="7"/>
  <c r="G25" i="7"/>
  <c r="G26" i="7"/>
  <c r="N8" i="7"/>
  <c r="J11" i="7"/>
  <c r="R8" i="7"/>
  <c r="J12" i="7"/>
  <c r="V8" i="7"/>
  <c r="J13" i="7"/>
  <c r="Z8" i="7"/>
  <c r="J14" i="7"/>
  <c r="AD8" i="7"/>
  <c r="J15" i="7"/>
  <c r="AH8" i="7"/>
  <c r="J16" i="7"/>
  <c r="J18" i="7"/>
  <c r="J19" i="7"/>
  <c r="J21" i="7"/>
  <c r="J30" i="7"/>
  <c r="D25" i="7"/>
  <c r="D26" i="7"/>
  <c r="F24" i="7"/>
  <c r="D24" i="7"/>
  <c r="C24" i="7"/>
  <c r="F23" i="7"/>
  <c r="F22" i="7"/>
  <c r="B22" i="7"/>
  <c r="F21" i="7"/>
  <c r="B21" i="7"/>
  <c r="F20" i="7"/>
  <c r="F19" i="7"/>
  <c r="F18" i="7"/>
  <c r="D17" i="7"/>
  <c r="D9" i="7"/>
  <c r="D18" i="7"/>
  <c r="I17" i="7"/>
  <c r="I16" i="7"/>
  <c r="D16" i="7"/>
  <c r="C16" i="7"/>
  <c r="I15" i="7"/>
  <c r="I14" i="7"/>
  <c r="F14" i="7"/>
  <c r="B14" i="7"/>
  <c r="I13" i="7"/>
  <c r="F13" i="7"/>
  <c r="B13" i="7"/>
  <c r="I12" i="7"/>
  <c r="F12" i="7"/>
  <c r="B12" i="7"/>
  <c r="I11" i="7"/>
  <c r="F11" i="7"/>
  <c r="F8" i="7"/>
  <c r="AF7" i="7"/>
  <c r="AB7" i="7"/>
  <c r="X7" i="7"/>
  <c r="T7" i="7"/>
  <c r="P7" i="7"/>
  <c r="L7" i="7"/>
  <c r="AH4" i="7"/>
  <c r="AF4" i="7"/>
  <c r="AD4" i="7"/>
  <c r="AB4" i="7"/>
  <c r="Z4" i="7"/>
  <c r="X4" i="7"/>
  <c r="V4" i="7"/>
  <c r="T4" i="7"/>
  <c r="R4" i="7"/>
  <c r="P4" i="7"/>
  <c r="N4" i="7"/>
  <c r="L4" i="7"/>
  <c r="J4" i="7"/>
  <c r="C3" i="7"/>
  <c r="J33" i="6"/>
  <c r="I18" i="6"/>
  <c r="I32" i="6"/>
  <c r="C8" i="6"/>
  <c r="C12" i="6"/>
  <c r="C13" i="6"/>
  <c r="C14" i="6"/>
  <c r="C15" i="6"/>
  <c r="C21" i="6"/>
  <c r="C22" i="6"/>
  <c r="C23" i="6"/>
  <c r="C28" i="6"/>
  <c r="D8" i="6"/>
  <c r="D12" i="6"/>
  <c r="D13" i="6"/>
  <c r="D14" i="6"/>
  <c r="D15" i="6"/>
  <c r="D21" i="6"/>
  <c r="D22" i="6"/>
  <c r="D23" i="6"/>
  <c r="D28" i="6"/>
  <c r="D29" i="6"/>
  <c r="G3" i="6"/>
  <c r="G15" i="6"/>
  <c r="G25" i="6"/>
  <c r="G26" i="6"/>
  <c r="N8" i="6"/>
  <c r="J11" i="6"/>
  <c r="R8" i="6"/>
  <c r="J12" i="6"/>
  <c r="V8" i="6"/>
  <c r="J13" i="6"/>
  <c r="Z8" i="6"/>
  <c r="J14" i="6"/>
  <c r="AD8" i="6"/>
  <c r="J15" i="6"/>
  <c r="AH8" i="6"/>
  <c r="J16" i="6"/>
  <c r="J18" i="6"/>
  <c r="J19" i="6"/>
  <c r="J21" i="6"/>
  <c r="J30" i="6"/>
  <c r="D25" i="6"/>
  <c r="D26" i="6"/>
  <c r="F24" i="6"/>
  <c r="D24" i="6"/>
  <c r="C24" i="6"/>
  <c r="F23" i="6"/>
  <c r="F22" i="6"/>
  <c r="B22" i="6"/>
  <c r="F21" i="6"/>
  <c r="B21" i="6"/>
  <c r="F20" i="6"/>
  <c r="F19" i="6"/>
  <c r="F18" i="6"/>
  <c r="D17" i="6"/>
  <c r="D9" i="6"/>
  <c r="D18" i="6"/>
  <c r="I17" i="6"/>
  <c r="I16" i="6"/>
  <c r="D16" i="6"/>
  <c r="C16" i="6"/>
  <c r="I15" i="6"/>
  <c r="I14" i="6"/>
  <c r="F14" i="6"/>
  <c r="B14" i="6"/>
  <c r="I13" i="6"/>
  <c r="F13" i="6"/>
  <c r="B13" i="6"/>
  <c r="I12" i="6"/>
  <c r="F12" i="6"/>
  <c r="B12" i="6"/>
  <c r="I11" i="6"/>
  <c r="F11" i="6"/>
  <c r="F8" i="6"/>
  <c r="AF7" i="6"/>
  <c r="AB7" i="6"/>
  <c r="X7" i="6"/>
  <c r="T7" i="6"/>
  <c r="P7" i="6"/>
  <c r="L7" i="6"/>
  <c r="AH4" i="6"/>
  <c r="AF4" i="6"/>
  <c r="AD4" i="6"/>
  <c r="AB4" i="6"/>
  <c r="Z4" i="6"/>
  <c r="X4" i="6"/>
  <c r="V4" i="6"/>
  <c r="T4" i="6"/>
  <c r="R4" i="6"/>
  <c r="P4" i="6"/>
  <c r="N4" i="6"/>
  <c r="L4" i="6"/>
  <c r="J4" i="6"/>
  <c r="C3" i="6"/>
  <c r="J33" i="5"/>
  <c r="I18" i="5"/>
  <c r="I32" i="5"/>
  <c r="D8" i="5"/>
  <c r="D12" i="5"/>
  <c r="D13" i="5"/>
  <c r="D14" i="5"/>
  <c r="D15" i="5"/>
  <c r="D21" i="5"/>
  <c r="D22" i="5"/>
  <c r="D23" i="5"/>
  <c r="D28" i="5"/>
  <c r="J18" i="5"/>
  <c r="J30" i="5"/>
  <c r="D25" i="5"/>
  <c r="D26" i="5"/>
  <c r="F24" i="5"/>
  <c r="D24" i="5"/>
  <c r="C24" i="5"/>
  <c r="F23" i="5"/>
  <c r="F22" i="5"/>
  <c r="B22" i="5"/>
  <c r="F21" i="5"/>
  <c r="B21" i="5"/>
  <c r="F20" i="5"/>
  <c r="F19" i="5"/>
  <c r="F18" i="5"/>
  <c r="D17" i="5"/>
  <c r="D9" i="5"/>
  <c r="D18" i="5"/>
  <c r="I17" i="5"/>
  <c r="I16" i="5"/>
  <c r="D16" i="5"/>
  <c r="C16" i="5"/>
  <c r="I15" i="5"/>
  <c r="I14" i="5"/>
  <c r="F14" i="5"/>
  <c r="B14" i="5"/>
  <c r="I13" i="5"/>
  <c r="F13" i="5"/>
  <c r="B13" i="5"/>
  <c r="I12" i="5"/>
  <c r="F12" i="5"/>
  <c r="B12" i="5"/>
  <c r="I11" i="5"/>
  <c r="F11" i="5"/>
  <c r="F8" i="5"/>
  <c r="AF7" i="5"/>
  <c r="AB7" i="5"/>
  <c r="X7" i="5"/>
  <c r="T7" i="5"/>
  <c r="P7" i="5"/>
  <c r="L7" i="5"/>
  <c r="AH4" i="5"/>
  <c r="AF4" i="5"/>
  <c r="AD4" i="5"/>
  <c r="AB4" i="5"/>
  <c r="Z4" i="5"/>
  <c r="X4" i="5"/>
  <c r="V4" i="5"/>
  <c r="T4" i="5"/>
  <c r="R4" i="5"/>
  <c r="P4" i="5"/>
  <c r="N4" i="5"/>
  <c r="L4" i="5"/>
  <c r="J4" i="5"/>
  <c r="C3" i="5"/>
  <c r="I18" i="4"/>
  <c r="I32" i="4"/>
  <c r="J30" i="4"/>
  <c r="D25" i="4"/>
  <c r="D26" i="4"/>
  <c r="F24" i="4"/>
  <c r="D24" i="4"/>
  <c r="C24" i="4"/>
  <c r="F23" i="4"/>
  <c r="F22" i="4"/>
  <c r="B22" i="4"/>
  <c r="F21" i="4"/>
  <c r="B21" i="4"/>
  <c r="F20" i="4"/>
  <c r="F19" i="4"/>
  <c r="F18" i="4"/>
  <c r="D17" i="4"/>
  <c r="D9" i="4"/>
  <c r="D18" i="4"/>
  <c r="I17" i="4"/>
  <c r="I16" i="4"/>
  <c r="D16" i="4"/>
  <c r="C16" i="4"/>
  <c r="I15" i="4"/>
  <c r="I14" i="4"/>
  <c r="F14" i="4"/>
  <c r="B14" i="4"/>
  <c r="I13" i="4"/>
  <c r="F13" i="4"/>
  <c r="B13" i="4"/>
  <c r="I12" i="4"/>
  <c r="F12" i="4"/>
  <c r="B12" i="4"/>
  <c r="I11" i="4"/>
  <c r="F11" i="4"/>
  <c r="F8" i="4"/>
  <c r="AF7" i="4"/>
  <c r="AB7" i="4"/>
  <c r="X7" i="4"/>
  <c r="T7" i="4"/>
  <c r="P7" i="4"/>
  <c r="L7" i="4"/>
  <c r="AH4" i="4"/>
  <c r="AF4" i="4"/>
  <c r="AD4" i="4"/>
  <c r="AB4" i="4"/>
  <c r="Z4" i="4"/>
  <c r="X4" i="4"/>
  <c r="V4" i="4"/>
  <c r="T4" i="4"/>
  <c r="R4" i="4"/>
  <c r="P4" i="4"/>
  <c r="N4" i="4"/>
  <c r="L4" i="4"/>
  <c r="J4" i="4"/>
  <c r="C3" i="4"/>
  <c r="AH4" i="3"/>
  <c r="AD4" i="3"/>
  <c r="Z4" i="3"/>
  <c r="AF4" i="3"/>
  <c r="AB4" i="3"/>
  <c r="X4" i="3"/>
  <c r="T4" i="3"/>
  <c r="P4" i="3"/>
  <c r="AF7" i="3"/>
  <c r="AB7" i="3"/>
  <c r="X7" i="3"/>
  <c r="T7" i="3"/>
  <c r="P7" i="3"/>
  <c r="L7" i="3"/>
  <c r="L4" i="3"/>
  <c r="V4" i="3"/>
  <c r="Q58" i="1"/>
  <c r="R4" i="3"/>
  <c r="N4" i="3"/>
  <c r="I32" i="3"/>
  <c r="I12" i="3"/>
  <c r="I13" i="3"/>
  <c r="I14" i="3"/>
  <c r="I15" i="3"/>
  <c r="I16" i="3"/>
  <c r="I17" i="3"/>
  <c r="I18" i="3"/>
  <c r="I11" i="3"/>
  <c r="F19" i="3"/>
  <c r="F20" i="3"/>
  <c r="F21" i="3"/>
  <c r="F22" i="3"/>
  <c r="F23" i="3"/>
  <c r="F24" i="3"/>
  <c r="F18" i="3"/>
  <c r="F12" i="3"/>
  <c r="F13" i="3"/>
  <c r="F14" i="3"/>
  <c r="F11" i="3"/>
  <c r="F8" i="3"/>
  <c r="B14" i="3"/>
  <c r="B13" i="3"/>
  <c r="B12" i="3"/>
  <c r="B22" i="3"/>
  <c r="B21" i="3"/>
  <c r="J30" i="3"/>
  <c r="B4" i="15"/>
  <c r="A21" i="1"/>
  <c r="A20" i="1"/>
  <c r="B10" i="1"/>
  <c r="C10" i="1"/>
  <c r="D10" i="1"/>
  <c r="E10" i="1"/>
  <c r="F10" i="1"/>
  <c r="G10" i="1"/>
  <c r="H10" i="1"/>
  <c r="I10" i="1"/>
  <c r="J10" i="1"/>
  <c r="K10" i="1"/>
  <c r="L10" i="1"/>
  <c r="M10" i="1"/>
  <c r="O10" i="1"/>
  <c r="B9" i="1"/>
  <c r="B11" i="1"/>
  <c r="C9" i="1"/>
  <c r="C11" i="1"/>
  <c r="D9" i="1"/>
  <c r="D11" i="1"/>
  <c r="E9" i="1"/>
  <c r="E11" i="1"/>
  <c r="F9" i="1"/>
  <c r="F11" i="1"/>
  <c r="G9" i="1"/>
  <c r="G11" i="1"/>
  <c r="H9" i="1"/>
  <c r="H11" i="1"/>
  <c r="I9" i="1"/>
  <c r="I11" i="1"/>
  <c r="J9" i="1"/>
  <c r="J11" i="1"/>
  <c r="K9" i="1"/>
  <c r="K11" i="1"/>
  <c r="L9" i="1"/>
  <c r="L11" i="1"/>
  <c r="M9" i="1"/>
  <c r="M11" i="1"/>
  <c r="O11" i="1"/>
  <c r="B14" i="1"/>
  <c r="C14" i="1"/>
  <c r="D14" i="1"/>
  <c r="E14" i="1"/>
  <c r="F14" i="1"/>
  <c r="G14" i="1"/>
  <c r="H14" i="1"/>
  <c r="I14" i="1"/>
  <c r="J14" i="1"/>
  <c r="K14" i="1"/>
  <c r="L14" i="1"/>
  <c r="M14" i="1"/>
  <c r="O14" i="1"/>
  <c r="B15" i="1"/>
  <c r="C15" i="1"/>
  <c r="D15" i="1"/>
  <c r="E15" i="1"/>
  <c r="F15" i="1"/>
  <c r="G15" i="1"/>
  <c r="H15" i="1"/>
  <c r="I15" i="1"/>
  <c r="J15" i="1"/>
  <c r="K15" i="1"/>
  <c r="L15" i="1"/>
  <c r="M15" i="1"/>
  <c r="O15" i="1"/>
  <c r="B16" i="1"/>
  <c r="C16" i="1"/>
  <c r="D16" i="1"/>
  <c r="E16" i="1"/>
  <c r="F16" i="1"/>
  <c r="G16" i="1"/>
  <c r="H16" i="1"/>
  <c r="I16" i="1"/>
  <c r="J16" i="1"/>
  <c r="K16" i="1"/>
  <c r="L16" i="1"/>
  <c r="M16" i="1"/>
  <c r="O16" i="1"/>
  <c r="B17" i="1"/>
  <c r="C17" i="1"/>
  <c r="D17" i="1"/>
  <c r="E17" i="1"/>
  <c r="F17" i="1"/>
  <c r="G17" i="1"/>
  <c r="H17" i="1"/>
  <c r="I17" i="1"/>
  <c r="J17" i="1"/>
  <c r="K17" i="1"/>
  <c r="L17" i="1"/>
  <c r="M17" i="1"/>
  <c r="O17" i="1"/>
  <c r="B20" i="1"/>
  <c r="C20" i="1"/>
  <c r="D20" i="1"/>
  <c r="E20" i="1"/>
  <c r="F20" i="1"/>
  <c r="G20" i="1"/>
  <c r="H20" i="1"/>
  <c r="I20" i="1"/>
  <c r="J20" i="1"/>
  <c r="K20" i="1"/>
  <c r="L20" i="1"/>
  <c r="M20" i="1"/>
  <c r="O20" i="1"/>
  <c r="B21" i="1"/>
  <c r="C21" i="1"/>
  <c r="D21" i="1"/>
  <c r="E21" i="1"/>
  <c r="F21" i="1"/>
  <c r="G21" i="1"/>
  <c r="H21" i="1"/>
  <c r="I21" i="1"/>
  <c r="J21" i="1"/>
  <c r="K21" i="1"/>
  <c r="L21" i="1"/>
  <c r="M21" i="1"/>
  <c r="O21" i="1"/>
  <c r="B22" i="1"/>
  <c r="C22" i="1"/>
  <c r="D22" i="1"/>
  <c r="E22" i="1"/>
  <c r="F22" i="1"/>
  <c r="G22" i="1"/>
  <c r="H22" i="1"/>
  <c r="I22" i="1"/>
  <c r="J22" i="1"/>
  <c r="K22" i="1"/>
  <c r="L22" i="1"/>
  <c r="M22" i="1"/>
  <c r="O22" i="1"/>
  <c r="B24" i="1"/>
  <c r="C24" i="1"/>
  <c r="D24" i="1"/>
  <c r="E24" i="1"/>
  <c r="F24" i="1"/>
  <c r="G24" i="1"/>
  <c r="H24" i="1"/>
  <c r="I24" i="1"/>
  <c r="J24" i="1"/>
  <c r="K24" i="1"/>
  <c r="L24" i="1"/>
  <c r="M24" i="1"/>
  <c r="O24" i="1"/>
  <c r="B26" i="1"/>
  <c r="C26" i="1"/>
  <c r="D26" i="1"/>
  <c r="E26" i="1"/>
  <c r="F26" i="1"/>
  <c r="G26" i="1"/>
  <c r="H26" i="1"/>
  <c r="I26" i="1"/>
  <c r="J26" i="1"/>
  <c r="K26" i="1"/>
  <c r="L26" i="1"/>
  <c r="M26" i="1"/>
  <c r="O26" i="1"/>
  <c r="B29" i="1"/>
  <c r="C29" i="1"/>
  <c r="D29" i="1"/>
  <c r="E29" i="1"/>
  <c r="F29" i="1"/>
  <c r="G29" i="1"/>
  <c r="H29" i="1"/>
  <c r="I29" i="1"/>
  <c r="J29" i="1"/>
  <c r="K29" i="1"/>
  <c r="L29" i="1"/>
  <c r="M29" i="1"/>
  <c r="O29" i="1"/>
  <c r="B32" i="1"/>
  <c r="C32" i="1"/>
  <c r="D32" i="1"/>
  <c r="E32" i="1"/>
  <c r="F32" i="1"/>
  <c r="G32" i="1"/>
  <c r="H32" i="1"/>
  <c r="I32" i="1"/>
  <c r="J32" i="1"/>
  <c r="K32" i="1"/>
  <c r="L32" i="1"/>
  <c r="M32" i="1"/>
  <c r="O32" i="1"/>
  <c r="B33" i="1"/>
  <c r="C33" i="1"/>
  <c r="D33" i="1"/>
  <c r="E33" i="1"/>
  <c r="F33" i="1"/>
  <c r="G33" i="1"/>
  <c r="H33" i="1"/>
  <c r="I33" i="1"/>
  <c r="J33" i="1"/>
  <c r="K33" i="1"/>
  <c r="L33" i="1"/>
  <c r="M33" i="1"/>
  <c r="O33" i="1"/>
  <c r="B34" i="1"/>
  <c r="C34" i="1"/>
  <c r="D34" i="1"/>
  <c r="E34" i="1"/>
  <c r="F34" i="1"/>
  <c r="G34" i="1"/>
  <c r="H34" i="1"/>
  <c r="I34" i="1"/>
  <c r="J34" i="1"/>
  <c r="K34" i="1"/>
  <c r="L34" i="1"/>
  <c r="M34" i="1"/>
  <c r="O34" i="1"/>
  <c r="B35" i="1"/>
  <c r="C35" i="1"/>
  <c r="D35" i="1"/>
  <c r="E35" i="1"/>
  <c r="F35" i="1"/>
  <c r="G35" i="1"/>
  <c r="H35" i="1"/>
  <c r="I35" i="1"/>
  <c r="J35" i="1"/>
  <c r="K35" i="1"/>
  <c r="L35" i="1"/>
  <c r="M35" i="1"/>
  <c r="O35" i="1"/>
  <c r="B36" i="1"/>
  <c r="C36" i="1"/>
  <c r="D36" i="1"/>
  <c r="E36" i="1"/>
  <c r="F36" i="1"/>
  <c r="G36" i="1"/>
  <c r="H36" i="1"/>
  <c r="I36" i="1"/>
  <c r="J36" i="1"/>
  <c r="K36" i="1"/>
  <c r="L36" i="1"/>
  <c r="M36" i="1"/>
  <c r="O36" i="1"/>
  <c r="B39" i="1"/>
  <c r="C39" i="1"/>
  <c r="D39" i="1"/>
  <c r="E39" i="1"/>
  <c r="F39" i="1"/>
  <c r="G39" i="1"/>
  <c r="H39" i="1"/>
  <c r="I39" i="1"/>
  <c r="J39" i="1"/>
  <c r="K39" i="1"/>
  <c r="L39" i="1"/>
  <c r="M39" i="1"/>
  <c r="O39" i="1"/>
  <c r="B40" i="1"/>
  <c r="C40" i="1"/>
  <c r="D40" i="1"/>
  <c r="E40" i="1"/>
  <c r="F40" i="1"/>
  <c r="G40" i="1"/>
  <c r="H40" i="1"/>
  <c r="I40" i="1"/>
  <c r="J40" i="1"/>
  <c r="K40" i="1"/>
  <c r="L40" i="1"/>
  <c r="M40" i="1"/>
  <c r="O40" i="1"/>
  <c r="B41" i="1"/>
  <c r="C41" i="1"/>
  <c r="D41" i="1"/>
  <c r="E41" i="1"/>
  <c r="F41" i="1"/>
  <c r="G41" i="1"/>
  <c r="H41" i="1"/>
  <c r="I41" i="1"/>
  <c r="J41" i="1"/>
  <c r="K41" i="1"/>
  <c r="L41" i="1"/>
  <c r="M41" i="1"/>
  <c r="O41" i="1"/>
  <c r="B42" i="1"/>
  <c r="C42" i="1"/>
  <c r="D42" i="1"/>
  <c r="E42" i="1"/>
  <c r="F42" i="1"/>
  <c r="G42" i="1"/>
  <c r="H42" i="1"/>
  <c r="I42" i="1"/>
  <c r="J42" i="1"/>
  <c r="K42" i="1"/>
  <c r="L42" i="1"/>
  <c r="M42" i="1"/>
  <c r="O42" i="1"/>
  <c r="B43" i="1"/>
  <c r="C43" i="1"/>
  <c r="D43" i="1"/>
  <c r="E43" i="1"/>
  <c r="F43" i="1"/>
  <c r="G43" i="1"/>
  <c r="H43" i="1"/>
  <c r="I43" i="1"/>
  <c r="J43" i="1"/>
  <c r="K43" i="1"/>
  <c r="L43" i="1"/>
  <c r="M43" i="1"/>
  <c r="O43" i="1"/>
  <c r="B44" i="1"/>
  <c r="C44" i="1"/>
  <c r="D44" i="1"/>
  <c r="E44" i="1"/>
  <c r="F44" i="1"/>
  <c r="G44" i="1"/>
  <c r="H44" i="1"/>
  <c r="I44" i="1"/>
  <c r="J44" i="1"/>
  <c r="K44" i="1"/>
  <c r="L44" i="1"/>
  <c r="M44" i="1"/>
  <c r="O44" i="1"/>
  <c r="B45" i="1"/>
  <c r="C45" i="1"/>
  <c r="D45" i="1"/>
  <c r="E45" i="1"/>
  <c r="F45" i="1"/>
  <c r="G45" i="1"/>
  <c r="H45" i="1"/>
  <c r="I45" i="1"/>
  <c r="J45" i="1"/>
  <c r="K45" i="1"/>
  <c r="L45" i="1"/>
  <c r="M45" i="1"/>
  <c r="O45" i="1"/>
  <c r="B46" i="1"/>
  <c r="C46" i="1"/>
  <c r="D46" i="1"/>
  <c r="E46" i="1"/>
  <c r="F46" i="1"/>
  <c r="G46" i="1"/>
  <c r="H46" i="1"/>
  <c r="I46" i="1"/>
  <c r="J46" i="1"/>
  <c r="K46" i="1"/>
  <c r="L46" i="1"/>
  <c r="M46" i="1"/>
  <c r="O46" i="1"/>
  <c r="B47" i="1"/>
  <c r="C47" i="1"/>
  <c r="D47" i="1"/>
  <c r="E47" i="1"/>
  <c r="F47" i="1"/>
  <c r="G47" i="1"/>
  <c r="H47" i="1"/>
  <c r="I47" i="1"/>
  <c r="J47" i="1"/>
  <c r="K47" i="1"/>
  <c r="L47" i="1"/>
  <c r="M47" i="1"/>
  <c r="O47" i="1"/>
  <c r="B50" i="1"/>
  <c r="C50" i="1"/>
  <c r="D50" i="1"/>
  <c r="E50" i="1"/>
  <c r="F50" i="1"/>
  <c r="G50" i="1"/>
  <c r="H50" i="1"/>
  <c r="I50" i="1"/>
  <c r="J50" i="1"/>
  <c r="K50" i="1"/>
  <c r="L50" i="1"/>
  <c r="M50" i="1"/>
  <c r="O50" i="1"/>
  <c r="B51" i="1"/>
  <c r="C51" i="1"/>
  <c r="D51" i="1"/>
  <c r="E51" i="1"/>
  <c r="F51" i="1"/>
  <c r="G51" i="1"/>
  <c r="H51" i="1"/>
  <c r="I51" i="1"/>
  <c r="J51" i="1"/>
  <c r="K51" i="1"/>
  <c r="L51" i="1"/>
  <c r="M51" i="1"/>
  <c r="O51" i="1"/>
  <c r="B52" i="1"/>
  <c r="C52" i="1"/>
  <c r="D52" i="1"/>
  <c r="E52" i="1"/>
  <c r="F52" i="1"/>
  <c r="G52" i="1"/>
  <c r="H52" i="1"/>
  <c r="I52" i="1"/>
  <c r="J52" i="1"/>
  <c r="K52" i="1"/>
  <c r="L52" i="1"/>
  <c r="M52" i="1"/>
  <c r="O52" i="1"/>
  <c r="B53" i="1"/>
  <c r="C53" i="1"/>
  <c r="D53" i="1"/>
  <c r="E53" i="1"/>
  <c r="F53" i="1"/>
  <c r="G53" i="1"/>
  <c r="H53" i="1"/>
  <c r="I53" i="1"/>
  <c r="J53" i="1"/>
  <c r="K53" i="1"/>
  <c r="L53" i="1"/>
  <c r="M53" i="1"/>
  <c r="O53" i="1"/>
  <c r="B54" i="1"/>
  <c r="C54" i="1"/>
  <c r="D54" i="1"/>
  <c r="E54" i="1"/>
  <c r="F54" i="1"/>
  <c r="G54" i="1"/>
  <c r="H54" i="1"/>
  <c r="I54" i="1"/>
  <c r="J54" i="1"/>
  <c r="K54" i="1"/>
  <c r="L54" i="1"/>
  <c r="M54" i="1"/>
  <c r="O54" i="1"/>
  <c r="B55" i="1"/>
  <c r="C55" i="1"/>
  <c r="D55" i="1"/>
  <c r="E55" i="1"/>
  <c r="F55" i="1"/>
  <c r="G55" i="1"/>
  <c r="H55" i="1"/>
  <c r="I55" i="1"/>
  <c r="J55" i="1"/>
  <c r="K55" i="1"/>
  <c r="L55" i="1"/>
  <c r="M55" i="1"/>
  <c r="O55" i="1"/>
  <c r="B56" i="1"/>
  <c r="C56" i="1"/>
  <c r="D56" i="1"/>
  <c r="E56" i="1"/>
  <c r="F56" i="1"/>
  <c r="G56" i="1"/>
  <c r="H56" i="1"/>
  <c r="I56" i="1"/>
  <c r="J56" i="1"/>
  <c r="K56" i="1"/>
  <c r="L56" i="1"/>
  <c r="M56" i="1"/>
  <c r="O56" i="1"/>
  <c r="B57" i="1"/>
  <c r="C57" i="1"/>
  <c r="D57" i="1"/>
  <c r="E57" i="1"/>
  <c r="F57" i="1"/>
  <c r="G57" i="1"/>
  <c r="H57" i="1"/>
  <c r="I57" i="1"/>
  <c r="J57" i="1"/>
  <c r="K57" i="1"/>
  <c r="L57" i="1"/>
  <c r="M57" i="1"/>
  <c r="O57" i="1"/>
  <c r="B58" i="1"/>
  <c r="C58" i="1"/>
  <c r="D58" i="1"/>
  <c r="E58" i="1"/>
  <c r="F58" i="1"/>
  <c r="G58" i="1"/>
  <c r="H58" i="1"/>
  <c r="I58" i="1"/>
  <c r="J58" i="1"/>
  <c r="K58" i="1"/>
  <c r="L58" i="1"/>
  <c r="M58" i="1"/>
  <c r="O58" i="1"/>
  <c r="B60" i="1"/>
  <c r="C60" i="1"/>
  <c r="D60" i="1"/>
  <c r="E60" i="1"/>
  <c r="F60" i="1"/>
  <c r="G60" i="1"/>
  <c r="H60" i="1"/>
  <c r="I60" i="1"/>
  <c r="J60" i="1"/>
  <c r="K60" i="1"/>
  <c r="L60" i="1"/>
  <c r="M60" i="1"/>
  <c r="O60" i="1"/>
  <c r="B62" i="1"/>
  <c r="C62" i="1"/>
  <c r="D62" i="1"/>
  <c r="E62" i="1"/>
  <c r="F62" i="1"/>
  <c r="G62" i="1"/>
  <c r="H62" i="1"/>
  <c r="I62" i="1"/>
  <c r="J62" i="1"/>
  <c r="K62" i="1"/>
  <c r="L62" i="1"/>
  <c r="M62" i="1"/>
  <c r="O62" i="1"/>
  <c r="O9" i="1"/>
  <c r="C24" i="3"/>
  <c r="D9" i="3"/>
  <c r="C3" i="3"/>
  <c r="D17" i="3"/>
  <c r="D18" i="3"/>
  <c r="D24" i="3"/>
  <c r="C16" i="3"/>
  <c r="D25" i="3"/>
  <c r="D26" i="3"/>
  <c r="D16" i="3"/>
  <c r="J4" i="3"/>
  <c r="G8" i="15"/>
  <c r="G7" i="15"/>
  <c r="G5" i="15"/>
  <c r="N39" i="1"/>
  <c r="N45" i="1"/>
  <c r="N57" i="1"/>
  <c r="N56" i="1"/>
  <c r="N41" i="1"/>
  <c r="N42" i="1"/>
  <c r="N40" i="1"/>
  <c r="N29" i="1"/>
  <c r="N10" i="1"/>
  <c r="N26" i="1"/>
  <c r="N51" i="1"/>
  <c r="N54" i="1"/>
  <c r="N50" i="1"/>
  <c r="N52" i="1"/>
  <c r="N44" i="1"/>
  <c r="N43" i="1"/>
  <c r="N35" i="1"/>
  <c r="N34" i="1"/>
  <c r="N33" i="1"/>
  <c r="N32" i="1"/>
  <c r="N20" i="1"/>
  <c r="N9" i="1"/>
  <c r="N53" i="1"/>
  <c r="N36" i="1"/>
  <c r="N21" i="1"/>
  <c r="N11" i="1"/>
  <c r="B1" i="1"/>
  <c r="N16" i="1"/>
  <c r="N15" i="1"/>
  <c r="N55" i="1"/>
  <c r="N46" i="1"/>
  <c r="N47" i="1"/>
  <c r="N22" i="1"/>
  <c r="N58" i="1"/>
  <c r="N14" i="1"/>
  <c r="N60" i="1"/>
  <c r="N17" i="1"/>
  <c r="N24" i="1"/>
  <c r="G1" i="1"/>
  <c r="N62" i="1"/>
  <c r="L1" i="1"/>
</calcChain>
</file>

<file path=xl/sharedStrings.xml><?xml version="1.0" encoding="utf-8"?>
<sst xmlns="http://schemas.openxmlformats.org/spreadsheetml/2006/main" count="894" uniqueCount="200">
  <si>
    <t>Gross Pay</t>
  </si>
  <si>
    <t>Spendable Income</t>
  </si>
  <si>
    <t>Yearly Difference</t>
  </si>
  <si>
    <t>Jan</t>
  </si>
  <si>
    <t>Feb</t>
  </si>
  <si>
    <t>Mar</t>
  </si>
  <si>
    <t>Apr</t>
  </si>
  <si>
    <t>May</t>
  </si>
  <si>
    <t>Jun</t>
  </si>
  <si>
    <t>Jul</t>
  </si>
  <si>
    <t>Aug</t>
  </si>
  <si>
    <t>Sep</t>
  </si>
  <si>
    <t>Oct</t>
  </si>
  <si>
    <t>Nov</t>
  </si>
  <si>
    <t>Dec</t>
  </si>
  <si>
    <t>Income</t>
  </si>
  <si>
    <t>January</t>
  </si>
  <si>
    <t>First Payday</t>
  </si>
  <si>
    <t>Second Payday</t>
  </si>
  <si>
    <t>Gross Earning</t>
  </si>
  <si>
    <t>Bonus</t>
  </si>
  <si>
    <t>Social Security (6.2%)</t>
  </si>
  <si>
    <t>Medicare (1.45%)</t>
  </si>
  <si>
    <t>Base Salary</t>
  </si>
  <si>
    <t>Total Tax Deduction</t>
  </si>
  <si>
    <t>Income Percentage</t>
  </si>
  <si>
    <t>Fed Tax Deductions</t>
  </si>
  <si>
    <t>401(K) Savings Deductions</t>
  </si>
  <si>
    <t>Total Savings Deductions</t>
  </si>
  <si>
    <t>Total Spendable Income</t>
  </si>
  <si>
    <t>Prior Account Balance</t>
  </si>
  <si>
    <t>Additional Misc Income</t>
  </si>
  <si>
    <t>Spendable Account Balance</t>
  </si>
  <si>
    <t>Expenses</t>
  </si>
  <si>
    <t>Utilities</t>
  </si>
  <si>
    <t>Electricity Bill</t>
  </si>
  <si>
    <t>Water Bill</t>
  </si>
  <si>
    <t>Miscellaneous Bill</t>
  </si>
  <si>
    <t>Cable/Internet Bill</t>
  </si>
  <si>
    <t>Total Utilities</t>
  </si>
  <si>
    <t>Auto Insurance</t>
  </si>
  <si>
    <t>Cell Phone Bill</t>
  </si>
  <si>
    <t>Gym Membership</t>
  </si>
  <si>
    <t>Spotify Membership</t>
  </si>
  <si>
    <t>Groceries</t>
  </si>
  <si>
    <t>Gas</t>
  </si>
  <si>
    <t>Monthly Fixed Expenses</t>
  </si>
  <si>
    <t>Total Fixed Expenses</t>
  </si>
  <si>
    <t>Subtotal Fixed Expenses</t>
  </si>
  <si>
    <t>Subtotal Income</t>
  </si>
  <si>
    <t>Monthly Variable Expenses</t>
  </si>
  <si>
    <t>Eating Out</t>
  </si>
  <si>
    <t>Going Out</t>
  </si>
  <si>
    <t>Miscellaneous Needs</t>
  </si>
  <si>
    <t>Miscellaneous Desires</t>
  </si>
  <si>
    <t>Total Variable Expenses</t>
  </si>
  <si>
    <t>Total Expenses</t>
  </si>
  <si>
    <t>Rollover Account Balance</t>
  </si>
  <si>
    <t>Gross Income</t>
  </si>
  <si>
    <t>Variable Expenses</t>
  </si>
  <si>
    <t>Date</t>
  </si>
  <si>
    <t>Description</t>
  </si>
  <si>
    <t>Cost</t>
  </si>
  <si>
    <t>Total Amount:</t>
  </si>
  <si>
    <t>March</t>
  </si>
  <si>
    <t>Federal Tax Deductions</t>
  </si>
  <si>
    <t>Totals</t>
  </si>
  <si>
    <t>401(k) Savings Deductions</t>
  </si>
  <si>
    <t>Living</t>
  </si>
  <si>
    <t>Savings</t>
  </si>
  <si>
    <t>Misc Income</t>
  </si>
  <si>
    <t>Mean AVG</t>
  </si>
  <si>
    <t>Netflix</t>
  </si>
  <si>
    <t>Item</t>
  </si>
  <si>
    <t>Months</t>
  </si>
  <si>
    <t>Cost/Month</t>
  </si>
  <si>
    <t>Savings Balance</t>
  </si>
  <si>
    <t>Profit/Loss</t>
  </si>
  <si>
    <t>Car Payment</t>
  </si>
  <si>
    <t>Travel/Vacation</t>
  </si>
  <si>
    <t>Acorns</t>
  </si>
  <si>
    <t>Variable Expense Budget</t>
  </si>
  <si>
    <t>Savings/Month</t>
  </si>
  <si>
    <t>April</t>
  </si>
  <si>
    <t>ACL</t>
  </si>
  <si>
    <t>June</t>
  </si>
  <si>
    <t>July</t>
  </si>
  <si>
    <t>UT Football Tickets</t>
  </si>
  <si>
    <t>August</t>
  </si>
  <si>
    <t>September</t>
  </si>
  <si>
    <t>October</t>
  </si>
  <si>
    <t>November</t>
  </si>
  <si>
    <t>December</t>
  </si>
  <si>
    <t>Februrary</t>
  </si>
  <si>
    <t>Roth RSP Savings Plan</t>
  </si>
  <si>
    <t>Pre-Tax RSP Savings Plan</t>
  </si>
  <si>
    <t>AMOUNT OF REQUIRED EMERGENCY CASH FUNDS</t>
  </si>
  <si>
    <t>Previous Year-End Balance</t>
  </si>
  <si>
    <t>Variable Expenses Budget</t>
  </si>
  <si>
    <t>Withholding Tax (~15%)</t>
  </si>
  <si>
    <t>Michigan Flyer</t>
  </si>
  <si>
    <t>DIA Parking + Denver Train</t>
  </si>
  <si>
    <t>Breckenridge Epic Lift Pass</t>
  </si>
  <si>
    <t>Ride Austin</t>
  </si>
  <si>
    <t>HEB</t>
  </si>
  <si>
    <t>Venmo - Logan</t>
  </si>
  <si>
    <t>Haymaker</t>
  </si>
  <si>
    <t>HEB - Grill Supplies</t>
  </si>
  <si>
    <t>Summermoon Coffee</t>
  </si>
  <si>
    <t>Walmart</t>
  </si>
  <si>
    <t>Hula Hut</t>
  </si>
  <si>
    <t>Craft Pride</t>
  </si>
  <si>
    <t>Sun N Ski - Board Tune</t>
  </si>
  <si>
    <t>Redbox - Sully</t>
  </si>
  <si>
    <t>Chilantro</t>
  </si>
  <si>
    <t>Maggie Maes</t>
  </si>
  <si>
    <t>Amazon - Monitor</t>
  </si>
  <si>
    <t>Exxon</t>
  </si>
  <si>
    <t>Food Kingdom</t>
  </si>
  <si>
    <t>Juan in a Million</t>
  </si>
  <si>
    <t>The Fainting Goat</t>
  </si>
  <si>
    <t>Flightpath Coffeehouse</t>
  </si>
  <si>
    <t>Pappadeaux</t>
  </si>
  <si>
    <t>ATM Withdrawal</t>
  </si>
  <si>
    <t>Tiff's Treats</t>
  </si>
  <si>
    <t>Chickfila</t>
  </si>
  <si>
    <t>Maggie</t>
  </si>
  <si>
    <t>Samsung Gear Watch Face</t>
  </si>
  <si>
    <t>The Tavern</t>
  </si>
  <si>
    <t>Redbox - Deepwater Horizon</t>
  </si>
  <si>
    <t>Silo On 7th</t>
  </si>
  <si>
    <t>Academy - Clothes</t>
  </si>
  <si>
    <t>Sidelines</t>
  </si>
  <si>
    <t>Cinemark - Patriots Day</t>
  </si>
  <si>
    <t>Thaikun</t>
  </si>
  <si>
    <t>Sun N Ski - Vest/Shirt</t>
  </si>
  <si>
    <t>Verts</t>
  </si>
  <si>
    <t>MSU Law Barristers Ball</t>
  </si>
  <si>
    <t>MOD Pizza</t>
  </si>
  <si>
    <t>Mozarts Coffee</t>
  </si>
  <si>
    <t>Southern Hospitality</t>
  </si>
  <si>
    <t>Burgerfi</t>
  </si>
  <si>
    <t>Luigis</t>
  </si>
  <si>
    <t>Empire Burger</t>
  </si>
  <si>
    <t>ACME Burgers</t>
  </si>
  <si>
    <t>Panda Express</t>
  </si>
  <si>
    <t>Las Trancas</t>
  </si>
  <si>
    <t>Pacific Rim</t>
  </si>
  <si>
    <t>Tysons Tacos</t>
  </si>
  <si>
    <t>Raising Cane's</t>
  </si>
  <si>
    <t>Uber (Venmo)</t>
  </si>
  <si>
    <t>Parking</t>
  </si>
  <si>
    <t>Miami Flight</t>
  </si>
  <si>
    <t>ATM - Michigan</t>
  </si>
  <si>
    <t>Valero</t>
  </si>
  <si>
    <t>Coco Crepes</t>
  </si>
  <si>
    <t>Okra Charity</t>
  </si>
  <si>
    <t>UT Basketball Tickets</t>
  </si>
  <si>
    <t>Shady Rays</t>
  </si>
  <si>
    <t>1 Stop Food</t>
  </si>
  <si>
    <t>Desano Pizza</t>
  </si>
  <si>
    <t>Super Bowl Conces.</t>
  </si>
  <si>
    <t>Special Cuts</t>
  </si>
  <si>
    <t>Kendra Scott</t>
  </si>
  <si>
    <t>Hopdoddy</t>
  </si>
  <si>
    <t>HEB - Cosemetics</t>
  </si>
  <si>
    <t>Austin Athletics</t>
  </si>
  <si>
    <t>Via 313 Pizza</t>
  </si>
  <si>
    <t>Bungalow</t>
  </si>
  <si>
    <t>CVS - Pharmacy</t>
  </si>
  <si>
    <t>Insomnia Cookie</t>
  </si>
  <si>
    <t>Heart of Texas Barbecue</t>
  </si>
  <si>
    <t>Ty - WakeSurf</t>
  </si>
  <si>
    <t>NCG Movies - Lego Batman</t>
  </si>
  <si>
    <t>Legends</t>
  </si>
  <si>
    <t>Fieldhouse</t>
  </si>
  <si>
    <t>Venmo - Bachelor Condo</t>
  </si>
  <si>
    <t>Los Tres Amigos</t>
  </si>
  <si>
    <t>Harpers</t>
  </si>
  <si>
    <t>Beggar's Banquet</t>
  </si>
  <si>
    <t>Draught House</t>
  </si>
  <si>
    <t>Capital Prime Steak</t>
  </si>
  <si>
    <t>Venmo - Ryan/Dillon</t>
  </si>
  <si>
    <t>McDonalds</t>
  </si>
  <si>
    <t>Latitude</t>
  </si>
  <si>
    <t>Taco Joint</t>
  </si>
  <si>
    <t>Russells Bistro</t>
  </si>
  <si>
    <t>Amazon - Knee Brace</t>
  </si>
  <si>
    <t>Stripes</t>
  </si>
  <si>
    <t>Academy - Knee Brace</t>
  </si>
  <si>
    <t>Twin Liquors</t>
  </si>
  <si>
    <t>Trudy's</t>
  </si>
  <si>
    <t>AMC - Logan</t>
  </si>
  <si>
    <t>Fuddruckers</t>
  </si>
  <si>
    <t>Redbox</t>
  </si>
  <si>
    <t>Dairy Queen</t>
  </si>
  <si>
    <t>Mens Wearhouse</t>
  </si>
  <si>
    <t>Red River Café</t>
  </si>
  <si>
    <t>Shell</t>
  </si>
  <si>
    <t>Heart of Hostpital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</si>
</sst>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
    <numFmt numFmtId="165" formatCode="0.000%"/>
    <numFmt numFmtId="166" formatCode="[$-409]mmmm\-yy;@"/>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theme="7"/>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medium">
        <color auto="1"/>
      </bottom>
      <diagonal/>
    </border>
    <border>
      <left style="thick">
        <color auto="1"/>
      </left>
      <right style="thick">
        <color auto="1"/>
      </right>
      <top/>
      <bottom/>
      <diagonal/>
    </border>
    <border>
      <left style="thick">
        <color auto="1"/>
      </left>
      <right style="thick">
        <color auto="1"/>
      </right>
      <top/>
      <bottom style="medium">
        <color auto="1"/>
      </bottom>
      <diagonal/>
    </border>
    <border>
      <left style="thick">
        <color auto="1"/>
      </left>
      <right style="thick">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thick">
        <color auto="1"/>
      </right>
      <top/>
      <bottom/>
      <diagonal/>
    </border>
    <border>
      <left/>
      <right style="thick">
        <color auto="1"/>
      </right>
      <top/>
      <bottom style="medium">
        <color auto="1"/>
      </bottom>
      <diagonal/>
    </border>
    <border>
      <left style="medium">
        <color auto="1"/>
      </left>
      <right style="medium">
        <color auto="1"/>
      </right>
      <top style="medium">
        <color auto="1"/>
      </top>
      <bottom/>
      <diagonal/>
    </border>
    <border>
      <left/>
      <right style="thin">
        <color auto="1"/>
      </right>
      <top style="thin">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8">
    <xf numFmtId="0" fontId="0" fillId="0" borderId="0" xfId="0"/>
    <xf numFmtId="0" fontId="3" fillId="0" borderId="0" xfId="0" applyFont="1"/>
    <xf numFmtId="44" fontId="0" fillId="0" borderId="0" xfId="1" applyFont="1"/>
    <xf numFmtId="44" fontId="0" fillId="0" borderId="0" xfId="1" applyFont="1" applyBorder="1"/>
    <xf numFmtId="44" fontId="3" fillId="0" borderId="0" xfId="1" applyFont="1"/>
    <xf numFmtId="0" fontId="0" fillId="0" borderId="1" xfId="0" applyBorder="1"/>
    <xf numFmtId="0" fontId="0" fillId="0" borderId="3" xfId="0" applyBorder="1"/>
    <xf numFmtId="44" fontId="0" fillId="0" borderId="4" xfId="1" applyFont="1" applyBorder="1"/>
    <xf numFmtId="0" fontId="0" fillId="0" borderId="5" xfId="0" applyBorder="1"/>
    <xf numFmtId="44" fontId="0" fillId="0" borderId="0" xfId="0" applyNumberFormat="1"/>
    <xf numFmtId="0" fontId="0" fillId="0" borderId="0" xfId="0" applyBorder="1"/>
    <xf numFmtId="44" fontId="4" fillId="0" borderId="4" xfId="0" applyNumberFormat="1" applyFont="1" applyBorder="1"/>
    <xf numFmtId="44" fontId="3" fillId="0" borderId="4" xfId="1" applyFont="1" applyBorder="1"/>
    <xf numFmtId="10" fontId="2" fillId="0" borderId="0" xfId="2" applyNumberFormat="1" applyFont="1" applyBorder="1" applyAlignment="1">
      <alignment horizontal="center"/>
    </xf>
    <xf numFmtId="0" fontId="3" fillId="0" borderId="6" xfId="0" applyFont="1" applyBorder="1"/>
    <xf numFmtId="44" fontId="0" fillId="0" borderId="7" xfId="0" applyNumberFormat="1" applyFont="1" applyBorder="1"/>
    <xf numFmtId="44" fontId="0" fillId="0" borderId="8" xfId="0" applyNumberFormat="1" applyFont="1" applyBorder="1"/>
    <xf numFmtId="44" fontId="3" fillId="0" borderId="1" xfId="0" applyNumberFormat="1" applyFont="1" applyBorder="1"/>
    <xf numFmtId="0" fontId="0" fillId="0" borderId="9" xfId="0" applyBorder="1"/>
    <xf numFmtId="0" fontId="0" fillId="0" borderId="4" xfId="0" applyBorder="1"/>
    <xf numFmtId="0" fontId="0" fillId="0" borderId="10" xfId="0" applyBorder="1"/>
    <xf numFmtId="0" fontId="0" fillId="0" borderId="11" xfId="0" applyBorder="1"/>
    <xf numFmtId="44" fontId="0" fillId="0" borderId="12" xfId="1" applyFont="1" applyBorder="1"/>
    <xf numFmtId="0" fontId="3" fillId="0" borderId="11" xfId="0" applyFont="1" applyBorder="1"/>
    <xf numFmtId="44" fontId="0" fillId="0" borderId="10" xfId="1" applyFont="1" applyBorder="1"/>
    <xf numFmtId="0" fontId="0" fillId="0" borderId="13" xfId="0" applyBorder="1"/>
    <xf numFmtId="44" fontId="0" fillId="0" borderId="14" xfId="1" applyFont="1" applyBorder="1"/>
    <xf numFmtId="0" fontId="0" fillId="0" borderId="15" xfId="0" applyBorder="1"/>
    <xf numFmtId="0" fontId="0" fillId="0" borderId="16" xfId="0" applyBorder="1"/>
    <xf numFmtId="0" fontId="0" fillId="0" borderId="11" xfId="0" applyFill="1" applyBorder="1"/>
    <xf numFmtId="44" fontId="0" fillId="0" borderId="12" xfId="0" applyNumberFormat="1" applyBorder="1"/>
    <xf numFmtId="0" fontId="3" fillId="0" borderId="11" xfId="0" applyFont="1" applyFill="1" applyBorder="1"/>
    <xf numFmtId="44" fontId="4" fillId="0" borderId="10" xfId="0" applyNumberFormat="1" applyFont="1" applyBorder="1"/>
    <xf numFmtId="10" fontId="2" fillId="0" borderId="12" xfId="2" applyNumberFormat="1" applyFont="1" applyBorder="1" applyAlignment="1">
      <alignment horizontal="center"/>
    </xf>
    <xf numFmtId="44" fontId="2" fillId="0" borderId="17" xfId="2" applyNumberFormat="1" applyFont="1" applyBorder="1" applyAlignment="1">
      <alignment horizontal="center"/>
    </xf>
    <xf numFmtId="0" fontId="0" fillId="0" borderId="13" xfId="0" applyFill="1" applyBorder="1"/>
    <xf numFmtId="10" fontId="2" fillId="0" borderId="5" xfId="2" applyNumberFormat="1" applyFont="1" applyBorder="1" applyAlignment="1">
      <alignment horizontal="center"/>
    </xf>
    <xf numFmtId="10" fontId="2" fillId="0" borderId="18" xfId="2" applyNumberFormat="1" applyFont="1" applyBorder="1" applyAlignment="1">
      <alignment horizontal="center"/>
    </xf>
    <xf numFmtId="44" fontId="3" fillId="0" borderId="10" xfId="1" applyFont="1" applyBorder="1"/>
    <xf numFmtId="164" fontId="0" fillId="0" borderId="0" xfId="2" applyNumberFormat="1" applyFont="1" applyBorder="1" applyAlignment="1">
      <alignment horizontal="center"/>
    </xf>
    <xf numFmtId="164" fontId="0" fillId="0" borderId="12" xfId="2" applyNumberFormat="1" applyFont="1" applyBorder="1" applyAlignment="1">
      <alignment horizontal="center"/>
    </xf>
    <xf numFmtId="44" fontId="0" fillId="0" borderId="17" xfId="0" applyNumberFormat="1" applyBorder="1"/>
    <xf numFmtId="164" fontId="0" fillId="0" borderId="18" xfId="2" applyNumberFormat="1" applyFont="1" applyBorder="1"/>
    <xf numFmtId="44" fontId="2" fillId="0" borderId="4" xfId="1" applyFont="1" applyBorder="1"/>
    <xf numFmtId="0" fontId="2" fillId="0" borderId="4" xfId="0" applyFont="1" applyBorder="1"/>
    <xf numFmtId="0" fontId="4" fillId="0" borderId="6" xfId="0" applyFont="1" applyBorder="1"/>
    <xf numFmtId="0" fontId="0" fillId="0" borderId="9" xfId="0" applyFont="1" applyBorder="1"/>
    <xf numFmtId="44" fontId="0" fillId="0" borderId="15" xfId="1" applyFont="1" applyBorder="1"/>
    <xf numFmtId="0" fontId="2" fillId="0" borderId="13" xfId="0" applyFont="1" applyFill="1" applyBorder="1"/>
    <xf numFmtId="0" fontId="0" fillId="0" borderId="12" xfId="0" applyBorder="1"/>
    <xf numFmtId="0" fontId="0" fillId="0" borderId="19" xfId="0" applyFont="1" applyFill="1" applyBorder="1"/>
    <xf numFmtId="0" fontId="0" fillId="0" borderId="11" xfId="0" applyFont="1" applyFill="1" applyBorder="1"/>
    <xf numFmtId="0" fontId="2" fillId="0" borderId="20" xfId="0" applyFont="1" applyFill="1" applyBorder="1"/>
    <xf numFmtId="44" fontId="2" fillId="0" borderId="10" xfId="1" applyFont="1" applyBorder="1"/>
    <xf numFmtId="0" fontId="0" fillId="0" borderId="19" xfId="0" applyBorder="1"/>
    <xf numFmtId="0" fontId="2" fillId="0" borderId="20" xfId="0" applyFont="1" applyBorder="1"/>
    <xf numFmtId="0" fontId="0" fillId="0" borderId="18" xfId="0" applyBorder="1"/>
    <xf numFmtId="44" fontId="3" fillId="0" borderId="8" xfId="0" applyNumberFormat="1" applyFont="1" applyBorder="1"/>
    <xf numFmtId="44" fontId="0" fillId="0" borderId="3" xfId="1" applyFont="1" applyBorder="1"/>
    <xf numFmtId="14" fontId="0" fillId="0" borderId="0" xfId="0" applyNumberFormat="1"/>
    <xf numFmtId="44" fontId="4" fillId="0" borderId="0" xfId="0" applyNumberFormat="1" applyFont="1"/>
    <xf numFmtId="44" fontId="0" fillId="0" borderId="3" xfId="0" applyNumberFormat="1" applyBorder="1"/>
    <xf numFmtId="14" fontId="0" fillId="0" borderId="3" xfId="0" applyNumberFormat="1" applyBorder="1"/>
    <xf numFmtId="0" fontId="0" fillId="0" borderId="5" xfId="0" applyNumberFormat="1" applyBorder="1"/>
    <xf numFmtId="44" fontId="0" fillId="0" borderId="5" xfId="0" applyNumberFormat="1" applyBorder="1"/>
    <xf numFmtId="0" fontId="3" fillId="0" borderId="0" xfId="0" applyFont="1"/>
    <xf numFmtId="0" fontId="0" fillId="0" borderId="0" xfId="0" applyFill="1" applyBorder="1"/>
    <xf numFmtId="44" fontId="2" fillId="0" borderId="0" xfId="0" applyNumberFormat="1" applyFont="1"/>
    <xf numFmtId="0" fontId="2" fillId="0" borderId="0" xfId="0" applyFont="1"/>
    <xf numFmtId="0" fontId="4" fillId="0" borderId="0" xfId="0" applyFont="1"/>
    <xf numFmtId="0" fontId="0" fillId="0" borderId="3" xfId="0" applyFill="1" applyBorder="1"/>
    <xf numFmtId="0" fontId="2" fillId="0" borderId="11" xfId="0" applyFont="1" applyFill="1" applyBorder="1"/>
    <xf numFmtId="44" fontId="3" fillId="0" borderId="7" xfId="0" applyNumberFormat="1" applyFont="1" applyBorder="1"/>
    <xf numFmtId="0" fontId="2" fillId="0" borderId="0" xfId="0" applyFont="1" applyBorder="1"/>
    <xf numFmtId="44" fontId="2" fillId="0" borderId="21" xfId="0" applyNumberFormat="1" applyFont="1" applyBorder="1"/>
    <xf numFmtId="0" fontId="2" fillId="0" borderId="0" xfId="0" applyFont="1" applyFill="1" applyBorder="1"/>
    <xf numFmtId="44" fontId="2" fillId="0" borderId="0" xfId="1" applyFont="1"/>
    <xf numFmtId="44" fontId="4" fillId="0" borderId="7" xfId="0" applyNumberFormat="1" applyFont="1" applyBorder="1"/>
    <xf numFmtId="44" fontId="3" fillId="0" borderId="0" xfId="0" applyNumberFormat="1" applyFont="1" applyBorder="1"/>
    <xf numFmtId="0" fontId="3" fillId="0" borderId="22" xfId="0" applyFont="1" applyBorder="1"/>
    <xf numFmtId="44" fontId="3" fillId="0" borderId="22" xfId="0" applyNumberFormat="1" applyFont="1" applyBorder="1"/>
    <xf numFmtId="44" fontId="0" fillId="0" borderId="22" xfId="0" applyNumberFormat="1" applyBorder="1"/>
    <xf numFmtId="44" fontId="3" fillId="0" borderId="23" xfId="0" applyNumberFormat="1" applyFont="1" applyBorder="1"/>
    <xf numFmtId="44" fontId="3" fillId="0" borderId="24" xfId="0" applyNumberFormat="1" applyFont="1" applyBorder="1"/>
    <xf numFmtId="44" fontId="2" fillId="0" borderId="3" xfId="0" applyNumberFormat="1" applyFont="1" applyBorder="1"/>
    <xf numFmtId="44" fontId="4" fillId="0" borderId="24" xfId="0" applyNumberFormat="1" applyFont="1" applyBorder="1"/>
    <xf numFmtId="0" fontId="3" fillId="0" borderId="0" xfId="0" applyFont="1"/>
    <xf numFmtId="44" fontId="3" fillId="0" borderId="0" xfId="0" applyNumberFormat="1" applyFont="1"/>
    <xf numFmtId="165" fontId="0" fillId="0" borderId="0" xfId="2" applyNumberFormat="1" applyFont="1"/>
    <xf numFmtId="44" fontId="0" fillId="0" borderId="0" xfId="0" applyNumberFormat="1" applyFill="1"/>
    <xf numFmtId="44" fontId="0" fillId="0" borderId="0" xfId="1" applyFont="1" applyFill="1" applyBorder="1"/>
    <xf numFmtId="44" fontId="2" fillId="0" borderId="4" xfId="1" applyFont="1" applyFill="1" applyBorder="1"/>
    <xf numFmtId="0" fontId="3" fillId="0" borderId="0" xfId="0" applyFont="1"/>
    <xf numFmtId="44" fontId="4" fillId="0" borderId="25" xfId="1" applyFont="1" applyBorder="1"/>
    <xf numFmtId="0" fontId="4" fillId="0" borderId="26" xfId="0" applyFont="1" applyBorder="1"/>
    <xf numFmtId="44" fontId="4" fillId="0" borderId="27" xfId="1" applyFont="1" applyBorder="1"/>
    <xf numFmtId="44" fontId="0" fillId="0" borderId="0" xfId="0" applyNumberFormat="1" applyBorder="1"/>
    <xf numFmtId="44" fontId="0" fillId="0" borderId="28" xfId="0" applyNumberFormat="1" applyBorder="1"/>
    <xf numFmtId="0" fontId="5" fillId="0" borderId="3" xfId="0" applyFont="1" applyFill="1" applyBorder="1"/>
    <xf numFmtId="44" fontId="0" fillId="0" borderId="29" xfId="0" applyNumberFormat="1" applyBorder="1"/>
    <xf numFmtId="44" fontId="0" fillId="0" borderId="0" xfId="1" applyFont="1" applyAlignment="1"/>
    <xf numFmtId="44" fontId="2" fillId="0" borderId="0" xfId="1" applyFont="1" applyAlignment="1"/>
    <xf numFmtId="44" fontId="0" fillId="0" borderId="29" xfId="1" applyFont="1" applyBorder="1"/>
    <xf numFmtId="0" fontId="3" fillId="0" borderId="0" xfId="0" applyFont="1"/>
    <xf numFmtId="166" fontId="0" fillId="0" borderId="0" xfId="0" applyNumberFormat="1"/>
    <xf numFmtId="166" fontId="3" fillId="0" borderId="0" xfId="0" applyNumberFormat="1" applyFont="1"/>
    <xf numFmtId="0" fontId="3" fillId="0" borderId="30" xfId="0" applyFont="1" applyBorder="1"/>
    <xf numFmtId="44" fontId="3" fillId="0" borderId="2" xfId="0" applyNumberFormat="1" applyFont="1" applyBorder="1"/>
    <xf numFmtId="44" fontId="6" fillId="0" borderId="0" xfId="1" applyFont="1" applyAlignment="1"/>
    <xf numFmtId="0" fontId="3" fillId="0" borderId="0" xfId="0" applyFont="1"/>
    <xf numFmtId="0" fontId="0" fillId="0" borderId="0" xfId="0" applyAlignment="1">
      <alignment horizontal="center"/>
    </xf>
    <xf numFmtId="0" fontId="3" fillId="0" borderId="0" xfId="0" applyFont="1"/>
    <xf numFmtId="14" fontId="0" fillId="0" borderId="0" xfId="0" applyNumberFormat="1" applyBorder="1"/>
    <xf numFmtId="44" fontId="4" fillId="0" borderId="0" xfId="0" applyNumberFormat="1" applyFont="1" applyBorder="1"/>
    <xf numFmtId="0" fontId="0" fillId="0" borderId="0" xfId="0" applyNumberFormat="1" applyBorder="1"/>
    <xf numFmtId="0" fontId="3" fillId="0" borderId="9" xfId="0" applyFont="1" applyBorder="1"/>
    <xf numFmtId="0" fontId="0" fillId="0" borderId="31" xfId="0" applyBorder="1"/>
    <xf numFmtId="44" fontId="2" fillId="0" borderId="12" xfId="0" applyNumberFormat="1" applyFont="1" applyBorder="1"/>
    <xf numFmtId="44" fontId="0" fillId="0" borderId="18" xfId="0" applyNumberFormat="1" applyFill="1" applyBorder="1"/>
    <xf numFmtId="44" fontId="0" fillId="0" borderId="18" xfId="0" applyNumberFormat="1" applyBorder="1"/>
    <xf numFmtId="0" fontId="3" fillId="0" borderId="11" xfId="0" applyFont="1" applyBorder="1" applyAlignment="1">
      <alignment horizontal="center"/>
    </xf>
    <xf numFmtId="9" fontId="0" fillId="0" borderId="0" xfId="2" applyFont="1"/>
    <xf numFmtId="44" fontId="0" fillId="0" borderId="12" xfId="1" applyFont="1" applyFill="1" applyBorder="1"/>
    <xf numFmtId="44" fontId="0" fillId="0" borderId="18" xfId="1" applyFont="1" applyBorder="1"/>
    <xf numFmtId="44" fontId="0" fillId="0" borderId="12" xfId="0" applyNumberFormat="1" applyFill="1" applyBorder="1"/>
    <xf numFmtId="44" fontId="0" fillId="0" borderId="18" xfId="1" applyFont="1" applyFill="1" applyBorder="1"/>
    <xf numFmtId="0" fontId="0" fillId="0" borderId="0" xfId="0" applyFill="1"/>
    <xf numFmtId="14" fontId="0" fillId="0" borderId="0" xfId="0" applyNumberFormat="1" applyFill="1"/>
    <xf numFmtId="44" fontId="0" fillId="2" borderId="0" xfId="0" applyNumberFormat="1" applyFill="1"/>
    <xf numFmtId="44" fontId="0" fillId="2" borderId="0" xfId="1" applyFont="1" applyFill="1" applyBorder="1"/>
    <xf numFmtId="0" fontId="0" fillId="0" borderId="0" xfId="0" applyAlignment="1">
      <alignment horizontal="center"/>
    </xf>
    <xf numFmtId="14" fontId="0" fillId="0" borderId="0" xfId="0" applyNumberFormat="1" applyAlignment="1">
      <alignment horizontal="center"/>
    </xf>
    <xf numFmtId="0" fontId="3" fillId="0" borderId="0" xfId="0" applyFont="1" applyBorder="1"/>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2"/>
  <sheetViews>
    <sheetView tabSelected="1" zoomScale="80" zoomScaleNormal="80" zoomScalePageLayoutView="80" workbookViewId="0">
      <pane ySplit="7" topLeftCell="A8" activePane="bottomLeft" state="frozen"/>
      <selection pane="bottomLeft" activeCell="C3" sqref="C3"/>
    </sheetView>
  </sheetViews>
  <sheetFormatPr baseColWidth="10" defaultColWidth="8.83203125" defaultRowHeight="15" x14ac:dyDescent="0.2"/>
  <cols>
    <col min="1" max="1" width="28.5" bestFit="1" customWidth="1"/>
    <col min="2" max="3" width="12.33203125" bestFit="1" customWidth="1"/>
    <col min="4" max="4" width="11.6640625" customWidth="1"/>
    <col min="5" max="13" width="12.33203125" bestFit="1" customWidth="1"/>
    <col min="14" max="14" width="12.33203125" style="65" bestFit="1" customWidth="1"/>
    <col min="15" max="15" width="12.33203125" style="86" bestFit="1" customWidth="1"/>
    <col min="16" max="16" width="13" bestFit="1" customWidth="1"/>
    <col min="17" max="17" width="21.83203125" bestFit="1" customWidth="1"/>
  </cols>
  <sheetData>
    <row r="1" spans="1:15" x14ac:dyDescent="0.2">
      <c r="A1" t="s">
        <v>0</v>
      </c>
      <c r="B1" s="100">
        <f>N11</f>
        <v>24481.820000000003</v>
      </c>
      <c r="C1" s="100"/>
      <c r="E1" s="130" t="s">
        <v>1</v>
      </c>
      <c r="F1" s="130"/>
      <c r="G1" s="100">
        <f>N24</f>
        <v>16054.815000000001</v>
      </c>
      <c r="H1" s="100"/>
      <c r="J1" s="130" t="s">
        <v>2</v>
      </c>
      <c r="K1" s="130"/>
      <c r="L1" s="108">
        <f>N62-B2</f>
        <v>7312.34</v>
      </c>
      <c r="M1" s="101"/>
    </row>
    <row r="2" spans="1:15" x14ac:dyDescent="0.2">
      <c r="A2" t="s">
        <v>97</v>
      </c>
      <c r="B2" s="100">
        <v>18895.86</v>
      </c>
      <c r="C2" s="100"/>
    </row>
    <row r="3" spans="1:15" x14ac:dyDescent="0.2">
      <c r="B3" s="100"/>
      <c r="C3" s="100"/>
      <c r="N3" s="111"/>
      <c r="O3" s="111"/>
    </row>
    <row r="4" spans="1:15" x14ac:dyDescent="0.2">
      <c r="A4" t="s">
        <v>94</v>
      </c>
      <c r="B4" s="121">
        <v>0.1</v>
      </c>
      <c r="O4" s="87"/>
    </row>
    <row r="5" spans="1:15" x14ac:dyDescent="0.2">
      <c r="A5" s="29" t="s">
        <v>95</v>
      </c>
      <c r="B5" s="121">
        <v>0.04</v>
      </c>
      <c r="N5" s="111"/>
      <c r="O5" s="87"/>
    </row>
    <row r="7" spans="1:15" x14ac:dyDescent="0.2">
      <c r="A7" s="92"/>
      <c r="B7" s="92" t="s">
        <v>3</v>
      </c>
      <c r="C7" s="92" t="s">
        <v>4</v>
      </c>
      <c r="D7" s="92" t="s">
        <v>5</v>
      </c>
      <c r="E7" s="92" t="s">
        <v>6</v>
      </c>
      <c r="F7" s="92" t="s">
        <v>7</v>
      </c>
      <c r="G7" s="92" t="s">
        <v>8</v>
      </c>
      <c r="H7" s="92" t="s">
        <v>9</v>
      </c>
      <c r="I7" s="92" t="s">
        <v>10</v>
      </c>
      <c r="J7" s="92" t="s">
        <v>11</v>
      </c>
      <c r="K7" s="92" t="s">
        <v>12</v>
      </c>
      <c r="L7" s="92" t="s">
        <v>13</v>
      </c>
      <c r="M7" s="92" t="s">
        <v>14</v>
      </c>
      <c r="N7" s="79" t="s">
        <v>66</v>
      </c>
      <c r="O7" s="79" t="s">
        <v>71</v>
      </c>
    </row>
    <row r="8" spans="1:15" ht="16" thickBot="1" x14ac:dyDescent="0.25">
      <c r="A8" s="6" t="s">
        <v>15</v>
      </c>
      <c r="N8" s="79"/>
      <c r="O8" s="79"/>
    </row>
    <row r="9" spans="1:15" x14ac:dyDescent="0.2">
      <c r="A9" t="s">
        <v>19</v>
      </c>
      <c r="B9" s="9">
        <f>SUM(Jan!C6:D6)</f>
        <v>5407.26</v>
      </c>
      <c r="C9" s="9">
        <f>SUM(Feb!C6:D6)</f>
        <v>5407.26</v>
      </c>
      <c r="D9" s="9">
        <f>SUM(Mar!C6:D6)</f>
        <v>2703.63</v>
      </c>
      <c r="E9" s="9">
        <f>SUM(Apr!C6:D6)</f>
        <v>0</v>
      </c>
      <c r="F9" s="9">
        <f>SUM(May!C6:D6)</f>
        <v>0</v>
      </c>
      <c r="G9" s="9">
        <f>SUM(Jun!C6:D6)</f>
        <v>0</v>
      </c>
      <c r="H9" s="9">
        <f>SUM(Jul!C6:D6)</f>
        <v>0</v>
      </c>
      <c r="I9" s="9">
        <f>SUM(Aug!C6:D6)</f>
        <v>0</v>
      </c>
      <c r="J9" s="9">
        <f>SUM(Sep!C6:D6)</f>
        <v>0</v>
      </c>
      <c r="K9" s="9">
        <f>SUM(Oct!C6:D6)</f>
        <v>0</v>
      </c>
      <c r="L9" s="9">
        <f>SUM(Nov!C6:D6)</f>
        <v>0</v>
      </c>
      <c r="M9" s="9">
        <f>SUM(Dec!C6:D6)</f>
        <v>0</v>
      </c>
      <c r="N9" s="80">
        <f>SUM(B9:M9)</f>
        <v>13518.150000000001</v>
      </c>
      <c r="O9" s="80">
        <f>AVERAGEIF(B9:M9,"&lt;&gt;0")</f>
        <v>4506.05</v>
      </c>
    </row>
    <row r="10" spans="1:15" ht="16" thickBot="1" x14ac:dyDescent="0.25">
      <c r="A10" t="s">
        <v>20</v>
      </c>
      <c r="B10" s="61">
        <f>SUM(Jan!C7:D7)</f>
        <v>0</v>
      </c>
      <c r="C10" s="61">
        <f>SUM(Feb!C7:D7)</f>
        <v>10963.67</v>
      </c>
      <c r="D10" s="61">
        <f>SUM(Mar!C7:D7)</f>
        <v>0</v>
      </c>
      <c r="E10" s="61">
        <f>SUM(Apr!C7:D7)</f>
        <v>0</v>
      </c>
      <c r="F10" s="61">
        <f>SUM(May!C7:D7)</f>
        <v>0</v>
      </c>
      <c r="G10" s="61">
        <f>SUM(Jun!C7:D7)</f>
        <v>0</v>
      </c>
      <c r="H10" s="61">
        <f>SUM(Jul!C7:D7)</f>
        <v>0</v>
      </c>
      <c r="I10" s="61">
        <f>SUM(Aug!C7:D7)</f>
        <v>0</v>
      </c>
      <c r="J10" s="61">
        <f>SUM(Sep!C7:D7)</f>
        <v>0</v>
      </c>
      <c r="K10" s="61">
        <f>SUM(Oct!C7:D7)</f>
        <v>0</v>
      </c>
      <c r="L10" s="61">
        <f>SUM(Nov!C7:D7)</f>
        <v>0</v>
      </c>
      <c r="M10" s="61">
        <f>SUM(Dec!C7:D7)</f>
        <v>0</v>
      </c>
      <c r="N10" s="82">
        <f t="shared" ref="N10:N60" si="0">SUM(B10:M10)</f>
        <v>10963.67</v>
      </c>
      <c r="O10" s="80">
        <f t="shared" ref="O10:O62" si="1">AVERAGEIF(B10:M10,"&lt;&gt;0")</f>
        <v>10963.67</v>
      </c>
    </row>
    <row r="11" spans="1:15" x14ac:dyDescent="0.2">
      <c r="A11" t="s">
        <v>58</v>
      </c>
      <c r="B11" s="9">
        <f>SUM(B9:B10)</f>
        <v>5407.26</v>
      </c>
      <c r="C11" s="9">
        <f>SUM(C9:C10)</f>
        <v>16370.93</v>
      </c>
      <c r="D11" s="9">
        <f t="shared" ref="D11:M11" si="2">SUM(D9:D10)</f>
        <v>2703.63</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80">
        <f t="shared" si="0"/>
        <v>24481.820000000003</v>
      </c>
      <c r="O11" s="80">
        <f t="shared" si="1"/>
        <v>8160.6066666666675</v>
      </c>
    </row>
    <row r="12" spans="1:15" x14ac:dyDescent="0.2">
      <c r="B12" s="9"/>
      <c r="C12" s="9"/>
      <c r="D12" s="9"/>
      <c r="E12" s="9"/>
      <c r="F12" s="9"/>
      <c r="G12" s="9"/>
      <c r="H12" s="9"/>
      <c r="I12" s="9"/>
      <c r="J12" s="9"/>
      <c r="K12" s="9"/>
      <c r="L12" s="9"/>
      <c r="M12" s="9"/>
      <c r="N12" s="80"/>
      <c r="O12" s="80"/>
    </row>
    <row r="13" spans="1:15" ht="16" thickBot="1" x14ac:dyDescent="0.25">
      <c r="A13" s="6" t="s">
        <v>65</v>
      </c>
      <c r="B13" s="9"/>
      <c r="C13" s="9"/>
      <c r="D13" s="9"/>
      <c r="E13" s="9"/>
      <c r="F13" s="9"/>
      <c r="G13" s="9"/>
      <c r="H13" s="9"/>
      <c r="I13" s="9"/>
      <c r="J13" s="9"/>
      <c r="K13" s="9"/>
      <c r="L13" s="9"/>
      <c r="M13" s="9"/>
      <c r="N13" s="80"/>
      <c r="O13" s="80"/>
    </row>
    <row r="14" spans="1:15" s="68" customFormat="1" x14ac:dyDescent="0.2">
      <c r="A14" s="71" t="s">
        <v>99</v>
      </c>
      <c r="B14" s="67">
        <f>SUM(Jan!C12:D12)</f>
        <v>811.09</v>
      </c>
      <c r="C14" s="67">
        <f>SUM(Feb!C12:D12)</f>
        <v>3552.01</v>
      </c>
      <c r="D14" s="67">
        <f>SUM(Mar!C12:D12)</f>
        <v>405.95</v>
      </c>
      <c r="E14" s="67">
        <f>SUM(Apr!C12:D12)</f>
        <v>0</v>
      </c>
      <c r="F14" s="67">
        <f>SUM(May!C12:D12)</f>
        <v>0</v>
      </c>
      <c r="G14" s="67">
        <f>SUM(Jun!C12:D12)</f>
        <v>0</v>
      </c>
      <c r="H14" s="67">
        <f>SUM(Jul!C12:D12)</f>
        <v>0</v>
      </c>
      <c r="I14" s="67">
        <f>SUM(Aug!C12:D12)</f>
        <v>0</v>
      </c>
      <c r="J14" s="67">
        <f>SUM(Sep!C12:D12)</f>
        <v>0</v>
      </c>
      <c r="K14" s="67">
        <f>SUM(Oct!C12:D12)</f>
        <v>0</v>
      </c>
      <c r="L14" s="67">
        <f>SUM(Nov!C12:D12)</f>
        <v>0</v>
      </c>
      <c r="M14" s="67">
        <f>SUM(Dec!C12:D12)</f>
        <v>0</v>
      </c>
      <c r="N14" s="80">
        <f t="shared" si="0"/>
        <v>4769.05</v>
      </c>
      <c r="O14" s="80">
        <f t="shared" si="1"/>
        <v>1589.6833333333334</v>
      </c>
    </row>
    <row r="15" spans="1:15" s="68" customFormat="1" x14ac:dyDescent="0.2">
      <c r="A15" s="71" t="s">
        <v>21</v>
      </c>
      <c r="B15" s="67">
        <f>SUM(Jan!C13:D13)</f>
        <v>335.44</v>
      </c>
      <c r="C15" s="67">
        <f>SUM(Feb!C13:D13)</f>
        <v>1015.1800000000001</v>
      </c>
      <c r="D15" s="67">
        <f>SUM(Mar!C13:D13)</f>
        <v>167.82</v>
      </c>
      <c r="E15" s="67">
        <f>SUM(Apr!C13:D13)</f>
        <v>0</v>
      </c>
      <c r="F15" s="67">
        <f>SUM(May!C13:D13)</f>
        <v>0</v>
      </c>
      <c r="G15" s="67">
        <f>SUM(Jun!C13:D13)</f>
        <v>0</v>
      </c>
      <c r="H15" s="67">
        <f>SUM(Jul!C13:D13)</f>
        <v>0</v>
      </c>
      <c r="I15" s="67">
        <f>SUM(Aug!C13:D13)</f>
        <v>0</v>
      </c>
      <c r="J15" s="67">
        <f>SUM(Sep!C13:D13)</f>
        <v>0</v>
      </c>
      <c r="K15" s="67">
        <f>SUM(Oct!C13:D13)</f>
        <v>0</v>
      </c>
      <c r="L15" s="67">
        <f>SUM(Nov!C13:D13)</f>
        <v>0</v>
      </c>
      <c r="M15" s="67">
        <f>SUM(Dec!C13:D13)</f>
        <v>0</v>
      </c>
      <c r="N15" s="80">
        <f t="shared" si="0"/>
        <v>1518.44</v>
      </c>
      <c r="O15" s="80">
        <f t="shared" si="1"/>
        <v>506.1466666666667</v>
      </c>
    </row>
    <row r="16" spans="1:15" s="68" customFormat="1" ht="16" thickBot="1" x14ac:dyDescent="0.25">
      <c r="A16" s="71" t="s">
        <v>22</v>
      </c>
      <c r="B16" s="84">
        <f>SUM(Jan!C14:D14)</f>
        <v>78.45</v>
      </c>
      <c r="C16" s="84">
        <f>SUM(Feb!C14:D14)</f>
        <v>237.42000000000002</v>
      </c>
      <c r="D16" s="84">
        <f>SUM(Mar!C14:D14)</f>
        <v>39.25</v>
      </c>
      <c r="E16" s="84">
        <f>SUM(Apr!C14:D14)</f>
        <v>0</v>
      </c>
      <c r="F16" s="84">
        <f>SUM(May!C14:D14)</f>
        <v>0</v>
      </c>
      <c r="G16" s="84">
        <f>SUM(Jun!C14:D14)</f>
        <v>0</v>
      </c>
      <c r="H16" s="84">
        <f>SUM(Jul!C14:D14)</f>
        <v>0</v>
      </c>
      <c r="I16" s="84">
        <f>SUM(Aug!C14:D14)</f>
        <v>0</v>
      </c>
      <c r="J16" s="84">
        <f>SUM(Sep!C14:D14)</f>
        <v>0</v>
      </c>
      <c r="K16" s="84">
        <f>SUM(Oct!C14:D14)</f>
        <v>0</v>
      </c>
      <c r="L16" s="84">
        <f>SUM(Nov!C14:D14)</f>
        <v>0</v>
      </c>
      <c r="M16" s="84">
        <f>SUM(Dec!C14:D14)</f>
        <v>0</v>
      </c>
      <c r="N16" s="82">
        <f t="shared" si="0"/>
        <v>355.12</v>
      </c>
      <c r="O16" s="80">
        <f t="shared" si="1"/>
        <v>118.37333333333333</v>
      </c>
    </row>
    <row r="17" spans="1:15 16384:16384" x14ac:dyDescent="0.2">
      <c r="A17" s="66" t="s">
        <v>24</v>
      </c>
      <c r="B17" s="67">
        <f>SUM(B14:B16)</f>
        <v>1224.98</v>
      </c>
      <c r="C17" s="67">
        <f t="shared" ref="C17:M17" si="3">SUM(C14:C16)</f>
        <v>4804.6100000000006</v>
      </c>
      <c r="D17" s="67">
        <f t="shared" si="3"/>
        <v>613.02</v>
      </c>
      <c r="E17" s="67">
        <f t="shared" si="3"/>
        <v>0</v>
      </c>
      <c r="F17" s="67">
        <f t="shared" si="3"/>
        <v>0</v>
      </c>
      <c r="G17" s="67">
        <f t="shared" si="3"/>
        <v>0</v>
      </c>
      <c r="H17" s="67">
        <f t="shared" si="3"/>
        <v>0</v>
      </c>
      <c r="I17" s="67">
        <f t="shared" si="3"/>
        <v>0</v>
      </c>
      <c r="J17" s="67">
        <f t="shared" si="3"/>
        <v>0</v>
      </c>
      <c r="K17" s="67">
        <f t="shared" si="3"/>
        <v>0</v>
      </c>
      <c r="L17" s="67">
        <f t="shared" si="3"/>
        <v>0</v>
      </c>
      <c r="M17" s="67">
        <f t="shared" si="3"/>
        <v>0</v>
      </c>
      <c r="N17" s="80">
        <f t="shared" si="0"/>
        <v>6642.6100000000006</v>
      </c>
      <c r="O17" s="80">
        <f t="shared" si="1"/>
        <v>2214.2033333333334</v>
      </c>
    </row>
    <row r="18" spans="1:15 16384:16384" x14ac:dyDescent="0.2">
      <c r="A18" s="66"/>
      <c r="B18" s="88"/>
      <c r="C18" s="88"/>
      <c r="D18" s="88"/>
      <c r="E18" s="88"/>
      <c r="F18" s="88"/>
      <c r="G18" s="9"/>
      <c r="H18" s="9"/>
      <c r="I18" s="9"/>
      <c r="J18" s="9"/>
      <c r="K18" s="9"/>
      <c r="L18" s="9"/>
      <c r="M18" s="9"/>
      <c r="N18" s="80"/>
      <c r="O18" s="80"/>
    </row>
    <row r="19" spans="1:15 16384:16384" ht="16" thickBot="1" x14ac:dyDescent="0.25">
      <c r="A19" s="70" t="s">
        <v>67</v>
      </c>
      <c r="B19" s="9"/>
      <c r="C19" s="9"/>
      <c r="D19" s="9"/>
      <c r="E19" s="9"/>
      <c r="F19" s="9"/>
      <c r="G19" s="9"/>
      <c r="H19" s="9"/>
      <c r="I19" s="9"/>
      <c r="J19" s="9"/>
      <c r="K19" s="9"/>
      <c r="L19" s="9"/>
      <c r="M19" s="9"/>
      <c r="N19" s="80"/>
      <c r="O19" s="80"/>
    </row>
    <row r="20" spans="1:15 16384:16384" x14ac:dyDescent="0.2">
      <c r="A20" s="29" t="str">
        <f>CONCATENATE("Roth RSP Savings (",$B$4*100,"%)")</f>
        <v>Roth RSP Savings (10%)</v>
      </c>
      <c r="B20" s="9">
        <f>SUM(Jan!C21:D21)</f>
        <v>432.58</v>
      </c>
      <c r="C20" s="9">
        <f>SUM(Feb!C21:D21)</f>
        <v>540.726</v>
      </c>
      <c r="D20" s="9">
        <f>SUM(Mar!C21:D21)</f>
        <v>270.363</v>
      </c>
      <c r="E20" s="9">
        <f>SUM(Apr!C21:D21)</f>
        <v>0</v>
      </c>
      <c r="F20" s="9">
        <f>SUM(May!C21:D21)</f>
        <v>0</v>
      </c>
      <c r="G20" s="9">
        <f>SUM(Jun!C21:D21)</f>
        <v>0</v>
      </c>
      <c r="H20" s="9">
        <f>SUM(Jul!C21:D21)</f>
        <v>0</v>
      </c>
      <c r="I20" s="9">
        <f>SUM(Aug!C21:D21)</f>
        <v>0</v>
      </c>
      <c r="J20" s="9">
        <f>SUM(Sep!C21:D21)</f>
        <v>0</v>
      </c>
      <c r="K20" s="9">
        <f>SUM(Oct!C21:D21)</f>
        <v>0</v>
      </c>
      <c r="L20" s="9">
        <f>SUM(Nov!C21:D21)</f>
        <v>0</v>
      </c>
      <c r="M20" s="9">
        <f>SUM(Dec!C21:D21)</f>
        <v>0</v>
      </c>
      <c r="N20" s="80">
        <f t="shared" si="0"/>
        <v>1243.6690000000001</v>
      </c>
      <c r="O20" s="80">
        <f t="shared" si="1"/>
        <v>414.55633333333338</v>
      </c>
    </row>
    <row r="21" spans="1:15 16384:16384" ht="16" thickBot="1" x14ac:dyDescent="0.25">
      <c r="A21" s="29" t="str">
        <f>CONCATENATE("Pre-Tax RSP Savings (",$B$5*100,"%)")</f>
        <v>Pre-Tax RSP Savings (4%)</v>
      </c>
      <c r="B21" s="61">
        <f>SUM(Jan!C22:D22)</f>
        <v>216.29040000000001</v>
      </c>
      <c r="C21" s="61">
        <f>SUM(Feb!C22:D22)</f>
        <v>216.29040000000001</v>
      </c>
      <c r="D21" s="61">
        <f>SUM(Mar!C22:D22)</f>
        <v>108.1452</v>
      </c>
      <c r="E21" s="61">
        <f>SUM(Apr!C22:D22)</f>
        <v>0</v>
      </c>
      <c r="F21" s="61">
        <f>SUM(May!C22:D22)</f>
        <v>0</v>
      </c>
      <c r="G21" s="61">
        <f>SUM(Jun!C22:D22)</f>
        <v>0</v>
      </c>
      <c r="H21" s="61">
        <f>SUM(Jul!C22:D22)</f>
        <v>0</v>
      </c>
      <c r="I21" s="61">
        <f>SUM(Aug!C22:D22)</f>
        <v>0</v>
      </c>
      <c r="J21" s="61">
        <f>SUM(Sep!C22:D22)</f>
        <v>0</v>
      </c>
      <c r="K21" s="61">
        <f>SUM(Oct!C22:D22)</f>
        <v>0</v>
      </c>
      <c r="L21" s="61">
        <f>SUM(Nov!C22:D22)</f>
        <v>0</v>
      </c>
      <c r="M21" s="61">
        <f>SUM(Dec!C22:D22)</f>
        <v>0</v>
      </c>
      <c r="N21" s="82">
        <f t="shared" si="0"/>
        <v>540.726</v>
      </c>
      <c r="O21" s="80">
        <f t="shared" si="1"/>
        <v>180.24199999999999</v>
      </c>
    </row>
    <row r="22" spans="1:15 16384:16384" x14ac:dyDescent="0.2">
      <c r="A22" s="66" t="s">
        <v>28</v>
      </c>
      <c r="B22" s="9">
        <f>SUM(B20:B21)</f>
        <v>648.87040000000002</v>
      </c>
      <c r="C22" s="9">
        <f t="shared" ref="C22:M22" si="4">SUM(C20:C21)</f>
        <v>757.01639999999998</v>
      </c>
      <c r="D22" s="9">
        <f t="shared" si="4"/>
        <v>378.50819999999999</v>
      </c>
      <c r="E22" s="9">
        <f t="shared" si="4"/>
        <v>0</v>
      </c>
      <c r="F22" s="9">
        <f t="shared" si="4"/>
        <v>0</v>
      </c>
      <c r="G22" s="9">
        <f t="shared" si="4"/>
        <v>0</v>
      </c>
      <c r="H22" s="9">
        <f t="shared" si="4"/>
        <v>0</v>
      </c>
      <c r="I22" s="9">
        <f t="shared" si="4"/>
        <v>0</v>
      </c>
      <c r="J22" s="9">
        <f t="shared" si="4"/>
        <v>0</v>
      </c>
      <c r="K22" s="9">
        <f t="shared" si="4"/>
        <v>0</v>
      </c>
      <c r="L22" s="9">
        <f t="shared" si="4"/>
        <v>0</v>
      </c>
      <c r="M22" s="9">
        <f t="shared" si="4"/>
        <v>0</v>
      </c>
      <c r="N22" s="80">
        <f t="shared" si="0"/>
        <v>1784.395</v>
      </c>
      <c r="O22" s="80">
        <f t="shared" si="1"/>
        <v>594.79833333333329</v>
      </c>
    </row>
    <row r="23" spans="1:15 16384:16384" ht="16" thickBot="1" x14ac:dyDescent="0.25">
      <c r="B23" s="58"/>
      <c r="C23" s="58"/>
      <c r="D23" s="58"/>
      <c r="E23" s="58"/>
      <c r="F23" s="58"/>
      <c r="G23" s="58"/>
      <c r="H23" s="58"/>
      <c r="I23" s="58"/>
      <c r="J23" s="58"/>
      <c r="K23" s="58"/>
      <c r="L23" s="58"/>
      <c r="M23" s="58"/>
      <c r="N23" s="82"/>
      <c r="O23" s="80"/>
    </row>
    <row r="24" spans="1:15 16384:16384" ht="16" thickBot="1" x14ac:dyDescent="0.25">
      <c r="A24" s="1" t="s">
        <v>29</v>
      </c>
      <c r="B24" s="72">
        <f>Jan!D29</f>
        <v>3533.4096000000004</v>
      </c>
      <c r="C24" s="72">
        <f t="shared" ref="C24:M24" si="5">C11-C17-C22</f>
        <v>10809.303599999999</v>
      </c>
      <c r="D24" s="72">
        <f>D11-D17-D22</f>
        <v>1712.1018000000001</v>
      </c>
      <c r="E24" s="72">
        <f t="shared" si="5"/>
        <v>0</v>
      </c>
      <c r="F24" s="72">
        <f t="shared" si="5"/>
        <v>0</v>
      </c>
      <c r="G24" s="72">
        <f t="shared" si="5"/>
        <v>0</v>
      </c>
      <c r="H24" s="72">
        <f t="shared" si="5"/>
        <v>0</v>
      </c>
      <c r="I24" s="72">
        <f t="shared" si="5"/>
        <v>0</v>
      </c>
      <c r="J24" s="72">
        <f t="shared" si="5"/>
        <v>0</v>
      </c>
      <c r="K24" s="72">
        <f t="shared" si="5"/>
        <v>0</v>
      </c>
      <c r="L24" s="72">
        <f t="shared" si="5"/>
        <v>0</v>
      </c>
      <c r="M24" s="72">
        <f t="shared" si="5"/>
        <v>0</v>
      </c>
      <c r="N24" s="83">
        <f t="shared" si="0"/>
        <v>16054.815000000001</v>
      </c>
      <c r="O24" s="80">
        <f t="shared" si="1"/>
        <v>5351.6050000000005</v>
      </c>
    </row>
    <row r="25" spans="1:15 16384:16384" x14ac:dyDescent="0.2">
      <c r="A25" s="65"/>
      <c r="B25" s="78"/>
      <c r="C25" s="78"/>
      <c r="D25" s="78"/>
      <c r="E25" s="78"/>
      <c r="F25" s="78"/>
      <c r="G25" s="78"/>
      <c r="H25" s="78"/>
      <c r="I25" s="78"/>
      <c r="J25" s="78"/>
      <c r="K25" s="78"/>
      <c r="L25" s="78"/>
      <c r="M25" s="78"/>
      <c r="N25" s="80"/>
      <c r="O25" s="80"/>
    </row>
    <row r="26" spans="1:15 16384:16384" x14ac:dyDescent="0.2">
      <c r="A26" s="65" t="s">
        <v>70</v>
      </c>
      <c r="B26" s="78">
        <f>Jan!G4</f>
        <v>505</v>
      </c>
      <c r="C26" s="78">
        <f>Feb!G4</f>
        <v>-0.02</v>
      </c>
      <c r="D26" s="78">
        <f>Mar!G4</f>
        <v>0</v>
      </c>
      <c r="E26" s="78">
        <f>Apr!G4</f>
        <v>0</v>
      </c>
      <c r="F26" s="78">
        <f>May!G4</f>
        <v>0</v>
      </c>
      <c r="G26" s="78">
        <f>Jun!G4</f>
        <v>0</v>
      </c>
      <c r="H26" s="78">
        <f>Jul!G4</f>
        <v>0</v>
      </c>
      <c r="I26" s="78">
        <f>Aug!G4</f>
        <v>0</v>
      </c>
      <c r="J26" s="78">
        <f>Sep!G4</f>
        <v>0</v>
      </c>
      <c r="K26" s="78">
        <f>Oct!G4</f>
        <v>0</v>
      </c>
      <c r="L26" s="78">
        <f>Nov!G4</f>
        <v>0</v>
      </c>
      <c r="M26" s="78">
        <f>Dec!G4</f>
        <v>0</v>
      </c>
      <c r="N26" s="80">
        <f t="shared" si="0"/>
        <v>504.98</v>
      </c>
      <c r="O26" s="80">
        <f t="shared" si="1"/>
        <v>252.49</v>
      </c>
      <c r="XFD26" s="9"/>
    </row>
    <row r="27" spans="1:15 16384:16384" x14ac:dyDescent="0.2">
      <c r="N27" s="80"/>
      <c r="O27" s="80"/>
    </row>
    <row r="28" spans="1:15 16384:16384" ht="16" thickBot="1" x14ac:dyDescent="0.25">
      <c r="A28" s="6" t="s">
        <v>33</v>
      </c>
      <c r="N28" s="80"/>
      <c r="O28" s="80"/>
    </row>
    <row r="29" spans="1:15 16384:16384" s="68" customFormat="1" x14ac:dyDescent="0.2">
      <c r="A29" s="75" t="s">
        <v>68</v>
      </c>
      <c r="B29" s="76">
        <f>Jan!G8</f>
        <v>700</v>
      </c>
      <c r="C29" s="76">
        <f>Feb!G8</f>
        <v>700</v>
      </c>
      <c r="D29" s="76">
        <f>Mar!G8</f>
        <v>700</v>
      </c>
      <c r="E29" s="76">
        <f>Apr!G8</f>
        <v>0</v>
      </c>
      <c r="F29" s="76">
        <f>May!G8</f>
        <v>0</v>
      </c>
      <c r="G29" s="76">
        <f>Jun!G8</f>
        <v>0</v>
      </c>
      <c r="H29" s="76">
        <f>Jul!G8</f>
        <v>0</v>
      </c>
      <c r="I29" s="76">
        <f>Aug!G8</f>
        <v>0</v>
      </c>
      <c r="J29" s="76">
        <f>Sep!G8</f>
        <v>0</v>
      </c>
      <c r="K29" s="76">
        <f>Oct!G8</f>
        <v>0</v>
      </c>
      <c r="L29" s="76">
        <f>Nov!G8</f>
        <v>0</v>
      </c>
      <c r="M29" s="76">
        <f>Dec!G8</f>
        <v>0</v>
      </c>
      <c r="N29" s="80">
        <f t="shared" si="0"/>
        <v>2100</v>
      </c>
      <c r="O29" s="80">
        <f t="shared" si="1"/>
        <v>700</v>
      </c>
    </row>
    <row r="30" spans="1:15 16384:16384" x14ac:dyDescent="0.2">
      <c r="N30" s="80"/>
      <c r="O30" s="80"/>
    </row>
    <row r="31" spans="1:15 16384:16384" ht="16" thickBot="1" x14ac:dyDescent="0.25">
      <c r="A31" s="6" t="s">
        <v>34</v>
      </c>
      <c r="N31" s="80"/>
      <c r="O31" s="80"/>
    </row>
    <row r="32" spans="1:15 16384:16384" x14ac:dyDescent="0.2">
      <c r="A32" t="s">
        <v>35</v>
      </c>
      <c r="B32" s="2">
        <f>Jan!G11</f>
        <v>15.5</v>
      </c>
      <c r="C32" s="2">
        <f>Feb!G11</f>
        <v>18.752500000000001</v>
      </c>
      <c r="D32" s="2">
        <f>Mar!G11</f>
        <v>16.557500000000001</v>
      </c>
      <c r="E32" s="2">
        <f>Apr!G11</f>
        <v>0</v>
      </c>
      <c r="F32" s="2">
        <f>May!G11</f>
        <v>0</v>
      </c>
      <c r="G32" s="2">
        <f>Jun!G11</f>
        <v>0</v>
      </c>
      <c r="H32" s="2">
        <f>Jul!G11</f>
        <v>0</v>
      </c>
      <c r="I32" s="2">
        <f>Aug!G11</f>
        <v>0</v>
      </c>
      <c r="J32" s="2">
        <f>Sep!G11</f>
        <v>0</v>
      </c>
      <c r="K32" s="2">
        <f>Oct!G11</f>
        <v>0</v>
      </c>
      <c r="L32" s="2">
        <f>Nov!G11</f>
        <v>0</v>
      </c>
      <c r="M32" s="2">
        <f>Dec!G11</f>
        <v>0</v>
      </c>
      <c r="N32" s="80">
        <f t="shared" si="0"/>
        <v>50.81</v>
      </c>
      <c r="O32" s="80">
        <f t="shared" si="1"/>
        <v>16.936666666666667</v>
      </c>
    </row>
    <row r="33" spans="1:15" x14ac:dyDescent="0.2">
      <c r="A33" s="51" t="s">
        <v>36</v>
      </c>
      <c r="B33" s="2">
        <f>Jan!G12</f>
        <v>21.657499999999999</v>
      </c>
      <c r="C33" s="2">
        <f>Feb!G12</f>
        <v>28.022500000000001</v>
      </c>
      <c r="D33" s="2">
        <f>Mar!G12</f>
        <v>21.265000000000001</v>
      </c>
      <c r="E33" s="2">
        <f>Apr!G12</f>
        <v>0</v>
      </c>
      <c r="F33" s="2">
        <f>May!G12</f>
        <v>0</v>
      </c>
      <c r="G33" s="2">
        <f>Jun!G12</f>
        <v>0</v>
      </c>
      <c r="H33" s="2">
        <f>Jul!G12</f>
        <v>0</v>
      </c>
      <c r="I33" s="2">
        <f>Aug!G12</f>
        <v>0</v>
      </c>
      <c r="J33" s="2">
        <f>Sep!G12</f>
        <v>0</v>
      </c>
      <c r="K33" s="2">
        <f>Oct!G12</f>
        <v>0</v>
      </c>
      <c r="L33" s="2">
        <f>Nov!G12</f>
        <v>0</v>
      </c>
      <c r="M33" s="2">
        <f>Dec!G12</f>
        <v>0</v>
      </c>
      <c r="N33" s="80">
        <f t="shared" si="0"/>
        <v>70.944999999999993</v>
      </c>
      <c r="O33" s="80">
        <f t="shared" si="1"/>
        <v>23.64833333333333</v>
      </c>
    </row>
    <row r="34" spans="1:15" x14ac:dyDescent="0.2">
      <c r="A34" s="51" t="s">
        <v>37</v>
      </c>
      <c r="B34" s="2">
        <f>Jan!G13</f>
        <v>32.39</v>
      </c>
      <c r="C34" s="2">
        <f>Feb!G13</f>
        <v>30.830000000000002</v>
      </c>
      <c r="D34" s="2">
        <f>Mar!G13</f>
        <v>16.53</v>
      </c>
      <c r="E34" s="2">
        <f>Apr!G13</f>
        <v>0</v>
      </c>
      <c r="F34" s="2">
        <f>May!G13</f>
        <v>0</v>
      </c>
      <c r="G34" s="2">
        <f>Jun!G13</f>
        <v>0</v>
      </c>
      <c r="H34" s="2">
        <f>Jul!G13</f>
        <v>0</v>
      </c>
      <c r="I34" s="2">
        <f>Aug!G13</f>
        <v>0</v>
      </c>
      <c r="J34" s="2">
        <f>Sep!G13</f>
        <v>0</v>
      </c>
      <c r="K34" s="2">
        <f>Oct!G13</f>
        <v>0</v>
      </c>
      <c r="L34" s="2">
        <f>Nov!G13</f>
        <v>0</v>
      </c>
      <c r="M34" s="2">
        <f>Dec!G13</f>
        <v>0</v>
      </c>
      <c r="N34" s="80">
        <f t="shared" si="0"/>
        <v>79.75</v>
      </c>
      <c r="O34" s="80">
        <f t="shared" si="1"/>
        <v>26.583333333333332</v>
      </c>
    </row>
    <row r="35" spans="1:15" ht="16" thickBot="1" x14ac:dyDescent="0.25">
      <c r="A35" s="51" t="s">
        <v>38</v>
      </c>
      <c r="B35" s="58">
        <f>Jan!G14</f>
        <v>0</v>
      </c>
      <c r="C35" s="58">
        <f>Feb!G14</f>
        <v>0</v>
      </c>
      <c r="D35" s="58">
        <f>Mar!G14</f>
        <v>0</v>
      </c>
      <c r="E35" s="58">
        <f>Apr!G14</f>
        <v>0</v>
      </c>
      <c r="F35" s="58">
        <f>May!G14</f>
        <v>0</v>
      </c>
      <c r="G35" s="58">
        <f>Jun!G14</f>
        <v>0</v>
      </c>
      <c r="H35" s="58">
        <f>Jul!G14</f>
        <v>0</v>
      </c>
      <c r="I35" s="58">
        <f>Aug!G14</f>
        <v>0</v>
      </c>
      <c r="J35" s="58">
        <f>Sep!G14</f>
        <v>0</v>
      </c>
      <c r="K35" s="58">
        <f>Oct!G14</f>
        <v>0</v>
      </c>
      <c r="L35" s="58">
        <f>Nov!G14</f>
        <v>0</v>
      </c>
      <c r="M35" s="102">
        <f>Dec!G14</f>
        <v>0</v>
      </c>
      <c r="N35" s="82">
        <f t="shared" si="0"/>
        <v>0</v>
      </c>
      <c r="O35" s="80" t="e">
        <f t="shared" si="1"/>
        <v>#DIV/0!</v>
      </c>
    </row>
    <row r="36" spans="1:15" s="68" customFormat="1" x14ac:dyDescent="0.2">
      <c r="A36" s="75" t="s">
        <v>39</v>
      </c>
      <c r="B36" s="76">
        <f>SUM(B32:B35)</f>
        <v>69.547499999999999</v>
      </c>
      <c r="C36" s="76">
        <f t="shared" ref="C36:M36" si="6">SUM(C32:C35)</f>
        <v>77.605000000000004</v>
      </c>
      <c r="D36" s="76">
        <f t="shared" si="6"/>
        <v>54.352500000000006</v>
      </c>
      <c r="E36" s="76">
        <f t="shared" si="6"/>
        <v>0</v>
      </c>
      <c r="F36" s="76">
        <f t="shared" si="6"/>
        <v>0</v>
      </c>
      <c r="G36" s="76">
        <f t="shared" si="6"/>
        <v>0</v>
      </c>
      <c r="H36" s="76">
        <f t="shared" si="6"/>
        <v>0</v>
      </c>
      <c r="I36" s="76">
        <f t="shared" si="6"/>
        <v>0</v>
      </c>
      <c r="J36" s="76">
        <f t="shared" si="6"/>
        <v>0</v>
      </c>
      <c r="K36" s="76">
        <f t="shared" si="6"/>
        <v>0</v>
      </c>
      <c r="L36" s="76">
        <f t="shared" si="6"/>
        <v>0</v>
      </c>
      <c r="M36" s="76">
        <f t="shared" si="6"/>
        <v>0</v>
      </c>
      <c r="N36" s="80">
        <f t="shared" si="0"/>
        <v>201.505</v>
      </c>
      <c r="O36" s="80">
        <f t="shared" si="1"/>
        <v>67.168333333333337</v>
      </c>
    </row>
    <row r="37" spans="1:15" x14ac:dyDescent="0.2">
      <c r="N37" s="80"/>
      <c r="O37" s="80"/>
    </row>
    <row r="38" spans="1:15" ht="16" thickBot="1" x14ac:dyDescent="0.25">
      <c r="A38" s="54" t="s">
        <v>46</v>
      </c>
      <c r="N38" s="80"/>
      <c r="O38" s="80"/>
    </row>
    <row r="39" spans="1:15" x14ac:dyDescent="0.2">
      <c r="A39" s="21" t="s">
        <v>78</v>
      </c>
      <c r="B39" s="9">
        <f>Jan!G18</f>
        <v>497.3</v>
      </c>
      <c r="C39" s="9">
        <f>Feb!G18</f>
        <v>497.3</v>
      </c>
      <c r="D39" s="9">
        <f>Mar!G18</f>
        <v>497.3</v>
      </c>
      <c r="E39" s="9">
        <f>Apr!G18</f>
        <v>0</v>
      </c>
      <c r="F39" s="9">
        <f>May!G18</f>
        <v>0</v>
      </c>
      <c r="G39" s="9">
        <f>Jun!G18</f>
        <v>0</v>
      </c>
      <c r="H39" s="9">
        <f>Jul!G18</f>
        <v>0</v>
      </c>
      <c r="I39" s="9">
        <f>Aug!G18</f>
        <v>0</v>
      </c>
      <c r="J39" s="9">
        <f>Sep!G18</f>
        <v>0</v>
      </c>
      <c r="K39" s="9">
        <f>Oct!G18</f>
        <v>0</v>
      </c>
      <c r="L39" s="9">
        <f>Nov!G18</f>
        <v>0</v>
      </c>
      <c r="M39" s="9">
        <f>Dec!G18</f>
        <v>0</v>
      </c>
      <c r="N39" s="80">
        <f>SUM(B39:M39)</f>
        <v>1491.9</v>
      </c>
      <c r="O39" s="80">
        <f t="shared" si="1"/>
        <v>497.3</v>
      </c>
    </row>
    <row r="40" spans="1:15" x14ac:dyDescent="0.2">
      <c r="A40" s="21" t="s">
        <v>40</v>
      </c>
      <c r="B40" s="9">
        <f>Jan!G19</f>
        <v>320</v>
      </c>
      <c r="C40" s="9">
        <f>Feb!G19</f>
        <v>320</v>
      </c>
      <c r="D40" s="9">
        <f>Mar!G19</f>
        <v>320</v>
      </c>
      <c r="E40" s="9">
        <f>Apr!G19</f>
        <v>0</v>
      </c>
      <c r="F40" s="9">
        <f>May!G19</f>
        <v>0</v>
      </c>
      <c r="G40" s="9">
        <f>Jun!G19</f>
        <v>0</v>
      </c>
      <c r="H40" s="9">
        <f>Jul!G19</f>
        <v>0</v>
      </c>
      <c r="I40" s="9">
        <f>Aug!G19</f>
        <v>0</v>
      </c>
      <c r="J40" s="9">
        <f>Sep!G19</f>
        <v>0</v>
      </c>
      <c r="K40" s="9">
        <f>Oct!G19</f>
        <v>0</v>
      </c>
      <c r="L40" s="9">
        <f>Nov!G19</f>
        <v>0</v>
      </c>
      <c r="M40" s="9">
        <f>Dec!G19</f>
        <v>0</v>
      </c>
      <c r="N40" s="80">
        <f t="shared" si="0"/>
        <v>960</v>
      </c>
      <c r="O40" s="80">
        <f t="shared" si="1"/>
        <v>320</v>
      </c>
    </row>
    <row r="41" spans="1:15" x14ac:dyDescent="0.2">
      <c r="A41" s="21" t="s">
        <v>41</v>
      </c>
      <c r="B41" s="9">
        <f>Jan!G20</f>
        <v>90</v>
      </c>
      <c r="C41" s="9">
        <f>Feb!G20</f>
        <v>90</v>
      </c>
      <c r="D41" s="9">
        <f>Mar!G20</f>
        <v>90</v>
      </c>
      <c r="E41" s="9">
        <f>Apr!G20</f>
        <v>0</v>
      </c>
      <c r="F41" s="9">
        <f>May!G20</f>
        <v>0</v>
      </c>
      <c r="G41" s="9">
        <f>Jun!G20</f>
        <v>0</v>
      </c>
      <c r="H41" s="9">
        <f>Jul!G20</f>
        <v>0</v>
      </c>
      <c r="I41" s="9">
        <f>Aug!G20</f>
        <v>0</v>
      </c>
      <c r="J41" s="9">
        <f>Sep!G20</f>
        <v>0</v>
      </c>
      <c r="K41" s="9">
        <f>Oct!G20</f>
        <v>0</v>
      </c>
      <c r="L41" s="9">
        <f>Nov!G20</f>
        <v>0</v>
      </c>
      <c r="M41" s="9">
        <f>Dec!G20</f>
        <v>0</v>
      </c>
      <c r="N41" s="80">
        <f t="shared" si="0"/>
        <v>270</v>
      </c>
      <c r="O41" s="80">
        <f t="shared" si="1"/>
        <v>90</v>
      </c>
    </row>
    <row r="42" spans="1:15" x14ac:dyDescent="0.2">
      <c r="A42" s="21" t="s">
        <v>69</v>
      </c>
      <c r="B42" s="9">
        <f>Jan!G21</f>
        <v>80</v>
      </c>
      <c r="C42" s="9">
        <f>Feb!G21</f>
        <v>160</v>
      </c>
      <c r="D42" s="9">
        <f>Mar!G21</f>
        <v>120</v>
      </c>
      <c r="E42" s="9">
        <f>Apr!G21</f>
        <v>0</v>
      </c>
      <c r="F42" s="9">
        <f>May!G21</f>
        <v>0</v>
      </c>
      <c r="G42" s="9">
        <f>Jun!G21</f>
        <v>0</v>
      </c>
      <c r="H42" s="9">
        <f>Jul!G21</f>
        <v>0</v>
      </c>
      <c r="I42" s="9">
        <f>Aug!G21</f>
        <v>0</v>
      </c>
      <c r="J42" s="9">
        <f>Sep!G21</f>
        <v>0</v>
      </c>
      <c r="K42" s="9">
        <f>Oct!G21</f>
        <v>0</v>
      </c>
      <c r="L42" s="9">
        <f>Nov!G21</f>
        <v>0</v>
      </c>
      <c r="M42" s="9">
        <f>Dec!G21</f>
        <v>0</v>
      </c>
      <c r="N42" s="80">
        <f t="shared" si="0"/>
        <v>360</v>
      </c>
      <c r="O42" s="80">
        <f t="shared" si="1"/>
        <v>120</v>
      </c>
    </row>
    <row r="43" spans="1:15" x14ac:dyDescent="0.2">
      <c r="A43" s="21" t="s">
        <v>42</v>
      </c>
      <c r="B43" s="9">
        <f>Jan!G22</f>
        <v>52.24</v>
      </c>
      <c r="C43" s="9">
        <f>Feb!G22</f>
        <v>43.29</v>
      </c>
      <c r="D43" s="9">
        <f>Mar!G22</f>
        <v>43.29</v>
      </c>
      <c r="E43" s="9">
        <f>Apr!G22</f>
        <v>0</v>
      </c>
      <c r="F43" s="9">
        <f>May!G22</f>
        <v>0</v>
      </c>
      <c r="G43" s="9">
        <f>Jun!G22</f>
        <v>0</v>
      </c>
      <c r="H43" s="9">
        <f>Jul!G22</f>
        <v>0</v>
      </c>
      <c r="I43" s="9">
        <f>Aug!G22</f>
        <v>0</v>
      </c>
      <c r="J43" s="9">
        <f>Sep!G22</f>
        <v>0</v>
      </c>
      <c r="K43" s="9">
        <f>Oct!G22</f>
        <v>0</v>
      </c>
      <c r="L43" s="9">
        <f>Nov!G22</f>
        <v>0</v>
      </c>
      <c r="M43" s="9">
        <f>Dec!G22</f>
        <v>0</v>
      </c>
      <c r="N43" s="80">
        <f t="shared" si="0"/>
        <v>138.82</v>
      </c>
      <c r="O43" s="80">
        <f t="shared" si="1"/>
        <v>46.273333333333333</v>
      </c>
    </row>
    <row r="44" spans="1:15" x14ac:dyDescent="0.2">
      <c r="A44" s="21" t="s">
        <v>43</v>
      </c>
      <c r="B44" s="96">
        <f>Jan!G23</f>
        <v>5.4</v>
      </c>
      <c r="C44" s="96">
        <f>Feb!G23</f>
        <v>5.4</v>
      </c>
      <c r="D44" s="96">
        <f>Mar!G23</f>
        <v>0</v>
      </c>
      <c r="E44" s="96">
        <f>Apr!G23</f>
        <v>0</v>
      </c>
      <c r="F44" s="96">
        <f>May!G23</f>
        <v>0</v>
      </c>
      <c r="G44" s="96">
        <f>Jun!G23</f>
        <v>0</v>
      </c>
      <c r="H44" s="96">
        <f>Jul!G23</f>
        <v>0</v>
      </c>
      <c r="I44" s="96">
        <f>Aug!G23</f>
        <v>0</v>
      </c>
      <c r="J44" s="96">
        <f>Sep!G23</f>
        <v>0</v>
      </c>
      <c r="K44" s="96">
        <f>Oct!G23</f>
        <v>0</v>
      </c>
      <c r="L44" s="96">
        <f>Nov!G23</f>
        <v>0</v>
      </c>
      <c r="M44" s="96">
        <f>Dec!G23</f>
        <v>0</v>
      </c>
      <c r="N44" s="80">
        <f t="shared" si="0"/>
        <v>10.8</v>
      </c>
      <c r="O44" s="80">
        <f t="shared" si="1"/>
        <v>5.4</v>
      </c>
    </row>
    <row r="45" spans="1:15" x14ac:dyDescent="0.2">
      <c r="A45" s="29" t="s">
        <v>72</v>
      </c>
      <c r="B45" s="9">
        <f>Jan!G24</f>
        <v>10.81</v>
      </c>
      <c r="C45" s="9">
        <f>Feb!G24</f>
        <v>10.81</v>
      </c>
      <c r="D45" s="9">
        <f>Mar!G24</f>
        <v>0</v>
      </c>
      <c r="E45" s="9">
        <f>Apr!G24</f>
        <v>0</v>
      </c>
      <c r="F45" s="9">
        <f>May!G24</f>
        <v>0</v>
      </c>
      <c r="G45" s="9">
        <f>Jun!G24</f>
        <v>0</v>
      </c>
      <c r="H45" s="9">
        <f>Jul!G24</f>
        <v>0</v>
      </c>
      <c r="I45" s="9">
        <f>Aug!G24</f>
        <v>0</v>
      </c>
      <c r="J45" s="9">
        <f>Sep!G24</f>
        <v>0</v>
      </c>
      <c r="K45" s="9">
        <f>Oct!G24</f>
        <v>0</v>
      </c>
      <c r="L45" s="9">
        <f>Nov!G24</f>
        <v>0</v>
      </c>
      <c r="M45" s="9">
        <f>Dec!G24</f>
        <v>0</v>
      </c>
      <c r="N45" s="80">
        <f>SUM(B45:M45)</f>
        <v>21.62</v>
      </c>
      <c r="O45" s="80">
        <f t="shared" si="1"/>
        <v>10.81</v>
      </c>
    </row>
    <row r="46" spans="1:15" s="68" customFormat="1" ht="16" thickBot="1" x14ac:dyDescent="0.25">
      <c r="A46" s="73" t="s">
        <v>48</v>
      </c>
      <c r="B46" s="74">
        <f>SUM(B39:B45)</f>
        <v>1055.75</v>
      </c>
      <c r="C46" s="74">
        <f t="shared" ref="C46:M46" si="7">SUM(C39:C45)</f>
        <v>1126.8</v>
      </c>
      <c r="D46" s="74">
        <f>SUM(D39:D45)</f>
        <v>1070.5899999999999</v>
      </c>
      <c r="E46" s="74">
        <f t="shared" si="7"/>
        <v>0</v>
      </c>
      <c r="F46" s="74">
        <f t="shared" si="7"/>
        <v>0</v>
      </c>
      <c r="G46" s="74">
        <f t="shared" si="7"/>
        <v>0</v>
      </c>
      <c r="H46" s="74">
        <f t="shared" si="7"/>
        <v>0</v>
      </c>
      <c r="I46" s="74">
        <f t="shared" si="7"/>
        <v>0</v>
      </c>
      <c r="J46" s="74">
        <f t="shared" si="7"/>
        <v>0</v>
      </c>
      <c r="K46" s="74">
        <f t="shared" si="7"/>
        <v>0</v>
      </c>
      <c r="L46" s="74">
        <f t="shared" si="7"/>
        <v>0</v>
      </c>
      <c r="M46" s="74">
        <f t="shared" si="7"/>
        <v>0</v>
      </c>
      <c r="N46" s="82">
        <f t="shared" si="0"/>
        <v>3253.1400000000003</v>
      </c>
      <c r="O46" s="80">
        <f t="shared" si="1"/>
        <v>1084.3800000000001</v>
      </c>
    </row>
    <row r="47" spans="1:15" s="68" customFormat="1" x14ac:dyDescent="0.2">
      <c r="A47" s="71" t="s">
        <v>47</v>
      </c>
      <c r="B47" s="67">
        <f t="shared" ref="B47:M47" si="8">SUM(B29,B36,B46)</f>
        <v>1825.2975000000001</v>
      </c>
      <c r="C47" s="67">
        <f>SUM(C29,C36,C46)</f>
        <v>1904.405</v>
      </c>
      <c r="D47" s="67">
        <f t="shared" si="8"/>
        <v>1824.9424999999999</v>
      </c>
      <c r="E47" s="67">
        <f t="shared" si="8"/>
        <v>0</v>
      </c>
      <c r="F47" s="67">
        <f t="shared" si="8"/>
        <v>0</v>
      </c>
      <c r="G47" s="67">
        <f t="shared" si="8"/>
        <v>0</v>
      </c>
      <c r="H47" s="67">
        <f t="shared" si="8"/>
        <v>0</v>
      </c>
      <c r="I47" s="67">
        <f t="shared" si="8"/>
        <v>0</v>
      </c>
      <c r="J47" s="67">
        <f t="shared" si="8"/>
        <v>0</v>
      </c>
      <c r="K47" s="67">
        <f t="shared" si="8"/>
        <v>0</v>
      </c>
      <c r="L47" s="67">
        <f t="shared" si="8"/>
        <v>0</v>
      </c>
      <c r="M47" s="67">
        <f t="shared" si="8"/>
        <v>0</v>
      </c>
      <c r="N47" s="80">
        <f t="shared" si="0"/>
        <v>5554.6450000000004</v>
      </c>
      <c r="O47" s="80">
        <f t="shared" si="1"/>
        <v>1851.5483333333334</v>
      </c>
    </row>
    <row r="48" spans="1:15" x14ac:dyDescent="0.2">
      <c r="N48" s="80"/>
      <c r="O48" s="80"/>
    </row>
    <row r="49" spans="1:17" ht="16" thickBot="1" x14ac:dyDescent="0.25">
      <c r="A49" s="6" t="s">
        <v>50</v>
      </c>
      <c r="N49" s="80"/>
      <c r="O49" s="80"/>
      <c r="Q49" t="s">
        <v>98</v>
      </c>
    </row>
    <row r="50" spans="1:17" x14ac:dyDescent="0.2">
      <c r="A50" s="10" t="s">
        <v>45</v>
      </c>
      <c r="B50" s="9">
        <f>Jan!J11</f>
        <v>132.76</v>
      </c>
      <c r="C50" s="9">
        <f>Feb!J11</f>
        <v>68.900000000000006</v>
      </c>
      <c r="D50" s="9">
        <f>Mar!J11</f>
        <v>109.34</v>
      </c>
      <c r="E50" s="9">
        <f>Apr!J11</f>
        <v>0</v>
      </c>
      <c r="F50" s="9">
        <f>May!J11</f>
        <v>0</v>
      </c>
      <c r="G50" s="9">
        <f>Jun!J11</f>
        <v>0</v>
      </c>
      <c r="H50" s="9">
        <f>Jul!J11</f>
        <v>0</v>
      </c>
      <c r="I50" s="9">
        <f>Aug!J11</f>
        <v>0</v>
      </c>
      <c r="J50" s="9">
        <f>Sep!J11</f>
        <v>0</v>
      </c>
      <c r="K50" s="9">
        <f>Oct!J11</f>
        <v>0</v>
      </c>
      <c r="L50" s="9">
        <f>Nov!J11</f>
        <v>0</v>
      </c>
      <c r="M50" s="9">
        <f>Dec!J11</f>
        <v>0</v>
      </c>
      <c r="N50" s="80">
        <f t="shared" si="0"/>
        <v>311</v>
      </c>
      <c r="O50" s="80">
        <f t="shared" si="1"/>
        <v>103.66666666666667</v>
      </c>
      <c r="P50" s="9"/>
      <c r="Q50" s="2">
        <v>150</v>
      </c>
    </row>
    <row r="51" spans="1:17" x14ac:dyDescent="0.2">
      <c r="A51" s="10" t="s">
        <v>44</v>
      </c>
      <c r="B51" s="9">
        <f>Jan!J12</f>
        <v>123.29999999999998</v>
      </c>
      <c r="C51" s="9">
        <f>Feb!J12</f>
        <v>111.86</v>
      </c>
      <c r="D51" s="9">
        <f>Mar!J12</f>
        <v>80.67</v>
      </c>
      <c r="E51" s="9">
        <f>Apr!J12</f>
        <v>0</v>
      </c>
      <c r="F51" s="9">
        <f>May!J12</f>
        <v>0</v>
      </c>
      <c r="G51" s="9">
        <f>Jun!J12</f>
        <v>0</v>
      </c>
      <c r="H51" s="9">
        <f>Jul!J12</f>
        <v>0</v>
      </c>
      <c r="I51" s="9">
        <f>Aug!J12</f>
        <v>0</v>
      </c>
      <c r="J51" s="9">
        <f>Sep!J12</f>
        <v>0</v>
      </c>
      <c r="K51" s="9">
        <f>Oct!J12</f>
        <v>0</v>
      </c>
      <c r="L51" s="9">
        <f>Nov!J12</f>
        <v>0</v>
      </c>
      <c r="M51" s="9">
        <f>Dec!J12</f>
        <v>0</v>
      </c>
      <c r="N51" s="80">
        <f t="shared" si="0"/>
        <v>315.83</v>
      </c>
      <c r="O51" s="80">
        <f t="shared" si="1"/>
        <v>105.27666666666666</v>
      </c>
      <c r="P51" s="9"/>
      <c r="Q51" s="2">
        <v>100</v>
      </c>
    </row>
    <row r="52" spans="1:17" x14ac:dyDescent="0.2">
      <c r="A52" s="10" t="s">
        <v>51</v>
      </c>
      <c r="B52" s="9">
        <f>Jan!J13</f>
        <v>309.15000000000003</v>
      </c>
      <c r="C52" s="9">
        <f>Feb!J13</f>
        <v>295.15000000000003</v>
      </c>
      <c r="D52" s="9">
        <f>Mar!J13</f>
        <v>77.13</v>
      </c>
      <c r="E52" s="9">
        <f>Apr!J13</f>
        <v>0</v>
      </c>
      <c r="F52" s="9">
        <f>May!J13</f>
        <v>0</v>
      </c>
      <c r="G52" s="9">
        <f>Jun!J13</f>
        <v>0</v>
      </c>
      <c r="H52" s="9">
        <f>Jul!J13</f>
        <v>0</v>
      </c>
      <c r="I52" s="9">
        <f>Aug!J13</f>
        <v>0</v>
      </c>
      <c r="J52" s="9">
        <f>Sep!J13</f>
        <v>0</v>
      </c>
      <c r="K52" s="9">
        <f>Oct!J13</f>
        <v>0</v>
      </c>
      <c r="L52" s="9">
        <f>Nov!J13</f>
        <v>0</v>
      </c>
      <c r="M52" s="9">
        <f>Dec!J13</f>
        <v>0</v>
      </c>
      <c r="N52" s="80">
        <f t="shared" si="0"/>
        <v>681.43000000000006</v>
      </c>
      <c r="O52" s="80">
        <f t="shared" si="1"/>
        <v>227.14333333333335</v>
      </c>
      <c r="P52" s="9"/>
      <c r="Q52" s="2">
        <v>250</v>
      </c>
    </row>
    <row r="53" spans="1:17" x14ac:dyDescent="0.2">
      <c r="A53" s="10" t="s">
        <v>52</v>
      </c>
      <c r="B53" s="9">
        <f>Jan!J14</f>
        <v>121.82</v>
      </c>
      <c r="C53" s="9">
        <f>Feb!J14</f>
        <v>231.91</v>
      </c>
      <c r="D53" s="9">
        <f>Mar!J14</f>
        <v>73.98</v>
      </c>
      <c r="E53" s="9">
        <f>Apr!J14</f>
        <v>0</v>
      </c>
      <c r="F53" s="9">
        <f>May!J14</f>
        <v>0</v>
      </c>
      <c r="G53" s="9">
        <f>Jun!J14</f>
        <v>0</v>
      </c>
      <c r="H53" s="9">
        <f>Jul!J14</f>
        <v>0</v>
      </c>
      <c r="I53" s="9">
        <f>Aug!J14</f>
        <v>0</v>
      </c>
      <c r="J53" s="9">
        <f>Sep!J14</f>
        <v>0</v>
      </c>
      <c r="K53" s="9">
        <f>Oct!J14</f>
        <v>0</v>
      </c>
      <c r="L53" s="9">
        <f>Nov!J14</f>
        <v>0</v>
      </c>
      <c r="M53" s="9">
        <f>Dec!J14</f>
        <v>0</v>
      </c>
      <c r="N53" s="80">
        <f t="shared" si="0"/>
        <v>427.71000000000004</v>
      </c>
      <c r="O53" s="80">
        <f t="shared" si="1"/>
        <v>142.57000000000002</v>
      </c>
      <c r="P53" s="9"/>
      <c r="Q53" s="2">
        <v>150</v>
      </c>
    </row>
    <row r="54" spans="1:17" x14ac:dyDescent="0.2">
      <c r="A54" s="10" t="s">
        <v>53</v>
      </c>
      <c r="B54" s="9">
        <f>Jan!J15</f>
        <v>84.039999999999992</v>
      </c>
      <c r="C54" s="9">
        <f>Feb!J15</f>
        <v>137.32999999999998</v>
      </c>
      <c r="D54" s="9">
        <f>Mar!J15</f>
        <v>276.02999999999997</v>
      </c>
      <c r="E54" s="9">
        <f>Apr!J15</f>
        <v>0</v>
      </c>
      <c r="F54" s="9">
        <f>May!J15</f>
        <v>0</v>
      </c>
      <c r="G54" s="9">
        <f>Jun!J15</f>
        <v>0</v>
      </c>
      <c r="H54" s="9">
        <f>Jul!J15</f>
        <v>0</v>
      </c>
      <c r="I54" s="9">
        <f>Aug!J15</f>
        <v>0</v>
      </c>
      <c r="J54" s="9">
        <f>Sep!J15</f>
        <v>0</v>
      </c>
      <c r="K54" s="9">
        <f>Oct!J15</f>
        <v>0</v>
      </c>
      <c r="L54" s="9">
        <f>Nov!J15</f>
        <v>0</v>
      </c>
      <c r="M54" s="9">
        <f>Dec!J15</f>
        <v>0</v>
      </c>
      <c r="N54" s="80">
        <f t="shared" si="0"/>
        <v>497.4</v>
      </c>
      <c r="O54" s="80">
        <f t="shared" si="1"/>
        <v>165.79999999999998</v>
      </c>
      <c r="P54" s="9"/>
      <c r="Q54" s="2">
        <v>100</v>
      </c>
    </row>
    <row r="55" spans="1:17" x14ac:dyDescent="0.2">
      <c r="A55" s="10" t="s">
        <v>54</v>
      </c>
      <c r="B55" s="96">
        <f>Jan!J16</f>
        <v>367.37</v>
      </c>
      <c r="C55" s="96">
        <f>Feb!J16</f>
        <v>268.06</v>
      </c>
      <c r="D55" s="96">
        <f>Mar!J16</f>
        <v>30.01</v>
      </c>
      <c r="E55" s="96">
        <f>Apr!J16</f>
        <v>0</v>
      </c>
      <c r="F55" s="96">
        <f>May!J16</f>
        <v>0</v>
      </c>
      <c r="G55" s="96">
        <f>Jun!J16</f>
        <v>0</v>
      </c>
      <c r="H55" s="96">
        <f>Jul!J16</f>
        <v>0</v>
      </c>
      <c r="I55" s="96">
        <f>Aug!J16</f>
        <v>0</v>
      </c>
      <c r="J55" s="96">
        <f>Sep!J16</f>
        <v>0</v>
      </c>
      <c r="K55" s="96">
        <f>Oct!J16</f>
        <v>0</v>
      </c>
      <c r="L55" s="96">
        <f>Nov!J16</f>
        <v>0</v>
      </c>
      <c r="M55" s="97">
        <f>Dec!J16</f>
        <v>0</v>
      </c>
      <c r="N55" s="80">
        <f t="shared" si="0"/>
        <v>665.44</v>
      </c>
      <c r="O55" s="80">
        <f t="shared" si="1"/>
        <v>221.81333333333336</v>
      </c>
      <c r="P55" s="9"/>
      <c r="Q55" s="2">
        <v>300</v>
      </c>
    </row>
    <row r="56" spans="1:17" x14ac:dyDescent="0.2">
      <c r="A56" s="66" t="s">
        <v>80</v>
      </c>
      <c r="B56" s="9">
        <f>Jan!J17</f>
        <v>9.5</v>
      </c>
      <c r="C56" s="9">
        <f>Feb!J17</f>
        <v>11.58</v>
      </c>
      <c r="D56" s="9">
        <f>Mar!J17</f>
        <v>7.44</v>
      </c>
      <c r="E56" s="9">
        <f>Apr!J17</f>
        <v>0</v>
      </c>
      <c r="F56" s="9">
        <f>May!J17</f>
        <v>0</v>
      </c>
      <c r="G56" s="9">
        <f>Jun!J17</f>
        <v>0</v>
      </c>
      <c r="H56" s="9">
        <f>Jul!J17</f>
        <v>0</v>
      </c>
      <c r="I56" s="9">
        <f>Aug!J17</f>
        <v>0</v>
      </c>
      <c r="J56" s="9">
        <f>Sep!J17</f>
        <v>0</v>
      </c>
      <c r="K56" s="9">
        <f>Oct!J17</f>
        <v>0</v>
      </c>
      <c r="L56" s="9">
        <f>Nov!J17</f>
        <v>0</v>
      </c>
      <c r="M56" s="9">
        <f>Dec!J17</f>
        <v>0</v>
      </c>
      <c r="N56" s="80">
        <f>SUM(B56:M56)</f>
        <v>28.52</v>
      </c>
      <c r="O56" s="80">
        <f t="shared" si="1"/>
        <v>9.5066666666666659</v>
      </c>
      <c r="P56" s="9"/>
      <c r="Q56" s="2">
        <v>10</v>
      </c>
    </row>
    <row r="57" spans="1:17" ht="16" thickBot="1" x14ac:dyDescent="0.25">
      <c r="A57" s="98" t="s">
        <v>79</v>
      </c>
      <c r="B57" s="61">
        <f>Jan!J18</f>
        <v>484.28</v>
      </c>
      <c r="C57" s="61">
        <f>Feb!J18</f>
        <v>281.2</v>
      </c>
      <c r="D57" s="61">
        <f>Mar!J18</f>
        <v>0</v>
      </c>
      <c r="E57" s="61">
        <f>Apr!J18</f>
        <v>0</v>
      </c>
      <c r="F57" s="61">
        <f>May!J18</f>
        <v>0</v>
      </c>
      <c r="G57" s="61">
        <f>Jun!J18</f>
        <v>0</v>
      </c>
      <c r="H57" s="61">
        <f>Jul!J18</f>
        <v>0</v>
      </c>
      <c r="I57" s="61">
        <f>Aug!J18</f>
        <v>0</v>
      </c>
      <c r="J57" s="61">
        <f>Sep!J18</f>
        <v>0</v>
      </c>
      <c r="K57" s="61">
        <f>Oct!J18</f>
        <v>0</v>
      </c>
      <c r="L57" s="61">
        <f>Nov!J18</f>
        <v>0</v>
      </c>
      <c r="M57" s="99">
        <f>Dec!J18</f>
        <v>0</v>
      </c>
      <c r="N57" s="82">
        <f>SUM(B57:M57)</f>
        <v>765.48</v>
      </c>
      <c r="O57" s="80">
        <f t="shared" si="1"/>
        <v>382.74</v>
      </c>
      <c r="P57" s="9"/>
      <c r="Q57" s="2">
        <v>200</v>
      </c>
    </row>
    <row r="58" spans="1:17" s="68" customFormat="1" x14ac:dyDescent="0.2">
      <c r="A58" s="73" t="s">
        <v>55</v>
      </c>
      <c r="B58" s="67">
        <f>SUM(B50:B57)</f>
        <v>1632.22</v>
      </c>
      <c r="C58" s="67">
        <f>SUM(C50:C57)</f>
        <v>1405.99</v>
      </c>
      <c r="D58" s="67">
        <f t="shared" ref="D58:M58" si="9">SUM(D50:D57)</f>
        <v>654.6</v>
      </c>
      <c r="E58" s="67">
        <f t="shared" si="9"/>
        <v>0</v>
      </c>
      <c r="F58" s="67">
        <f t="shared" si="9"/>
        <v>0</v>
      </c>
      <c r="G58" s="67">
        <f t="shared" si="9"/>
        <v>0</v>
      </c>
      <c r="H58" s="67">
        <f t="shared" si="9"/>
        <v>0</v>
      </c>
      <c r="I58" s="67">
        <f t="shared" si="9"/>
        <v>0</v>
      </c>
      <c r="J58" s="67">
        <f t="shared" si="9"/>
        <v>0</v>
      </c>
      <c r="K58" s="67">
        <f t="shared" si="9"/>
        <v>0</v>
      </c>
      <c r="L58" s="67">
        <f t="shared" si="9"/>
        <v>0</v>
      </c>
      <c r="M58" s="67">
        <f t="shared" si="9"/>
        <v>0</v>
      </c>
      <c r="N58" s="80">
        <f t="shared" si="0"/>
        <v>3692.81</v>
      </c>
      <c r="O58" s="80">
        <f t="shared" si="1"/>
        <v>1230.9366666666667</v>
      </c>
      <c r="Q58" s="76">
        <f>SUM(Q50:Q57)</f>
        <v>1260</v>
      </c>
    </row>
    <row r="59" spans="1:17" ht="16" thickBot="1" x14ac:dyDescent="0.25">
      <c r="A59" s="6"/>
      <c r="B59" s="6"/>
      <c r="C59" s="6"/>
      <c r="D59" s="6"/>
      <c r="E59" s="6"/>
      <c r="F59" s="6"/>
      <c r="G59" s="6"/>
      <c r="H59" s="6"/>
      <c r="I59" s="6"/>
      <c r="J59" s="6"/>
      <c r="K59" s="6"/>
      <c r="L59" s="6"/>
      <c r="M59" s="6"/>
      <c r="N59" s="82"/>
      <c r="O59" s="80"/>
    </row>
    <row r="60" spans="1:17" s="69" customFormat="1" ht="16" thickBot="1" x14ac:dyDescent="0.25">
      <c r="A60" s="45" t="s">
        <v>56</v>
      </c>
      <c r="B60" s="77">
        <f>SUM(B47,B58)</f>
        <v>3457.5174999999999</v>
      </c>
      <c r="C60" s="77">
        <f t="shared" ref="C60:M60" si="10">SUM(C47,C58)</f>
        <v>3310.395</v>
      </c>
      <c r="D60" s="77">
        <f t="shared" si="10"/>
        <v>2479.5425</v>
      </c>
      <c r="E60" s="77">
        <f t="shared" si="10"/>
        <v>0</v>
      </c>
      <c r="F60" s="77">
        <f t="shared" si="10"/>
        <v>0</v>
      </c>
      <c r="G60" s="77">
        <f t="shared" si="10"/>
        <v>0</v>
      </c>
      <c r="H60" s="77">
        <f t="shared" si="10"/>
        <v>0</v>
      </c>
      <c r="I60" s="77">
        <f t="shared" si="10"/>
        <v>0</v>
      </c>
      <c r="J60" s="77">
        <f t="shared" si="10"/>
        <v>0</v>
      </c>
      <c r="K60" s="77">
        <f t="shared" si="10"/>
        <v>0</v>
      </c>
      <c r="L60" s="77">
        <f t="shared" si="10"/>
        <v>0</v>
      </c>
      <c r="M60" s="77">
        <f t="shared" si="10"/>
        <v>0</v>
      </c>
      <c r="N60" s="85">
        <f t="shared" si="0"/>
        <v>9247.4549999999999</v>
      </c>
      <c r="O60" s="80">
        <f t="shared" si="1"/>
        <v>3082.4850000000001</v>
      </c>
    </row>
    <row r="61" spans="1:17" x14ac:dyDescent="0.2">
      <c r="N61" s="80"/>
      <c r="O61" s="80"/>
    </row>
    <row r="62" spans="1:17" x14ac:dyDescent="0.2">
      <c r="A62" t="s">
        <v>57</v>
      </c>
      <c r="B62" s="9">
        <f>B24-B60+B26+B2</f>
        <v>19476.752100000002</v>
      </c>
      <c r="C62" s="9">
        <f t="shared" ref="C62:M62" si="11">C24+C26-C60+B62</f>
        <v>26975.6407</v>
      </c>
      <c r="D62" s="9">
        <f t="shared" si="11"/>
        <v>26208.2</v>
      </c>
      <c r="E62" s="9">
        <f t="shared" si="11"/>
        <v>26208.2</v>
      </c>
      <c r="F62" s="9">
        <f t="shared" si="11"/>
        <v>26208.2</v>
      </c>
      <c r="G62" s="9">
        <f t="shared" si="11"/>
        <v>26208.2</v>
      </c>
      <c r="H62" s="9">
        <f t="shared" si="11"/>
        <v>26208.2</v>
      </c>
      <c r="I62" s="9">
        <f t="shared" si="11"/>
        <v>26208.2</v>
      </c>
      <c r="J62" s="9">
        <f t="shared" si="11"/>
        <v>26208.2</v>
      </c>
      <c r="K62" s="9">
        <f t="shared" si="11"/>
        <v>26208.2</v>
      </c>
      <c r="L62" s="9">
        <f t="shared" si="11"/>
        <v>26208.2</v>
      </c>
      <c r="M62" s="9">
        <f t="shared" si="11"/>
        <v>26208.2</v>
      </c>
      <c r="N62" s="81">
        <f>M62</f>
        <v>26208.2</v>
      </c>
      <c r="O62" s="80">
        <f t="shared" si="1"/>
        <v>25711.199400000001</v>
      </c>
    </row>
  </sheetData>
  <mergeCells count="2">
    <mergeCell ref="E1:F1"/>
    <mergeCell ref="J1:K1"/>
  </mergeCells>
  <dataValidations count="6">
    <dataValidation allowBlank="1" showInputMessage="1" showErrorMessage="1" promptTitle="Roth Savings" prompt="Enter the percentage of your salary you plan on saving to your Roth retirement fund" sqref="B4"/>
    <dataValidation allowBlank="1" showInputMessage="1" showErrorMessage="1" promptTitle="Pre-Tax 401k" prompt="Enter the percentage amount of your salaray you plan on saving to your pre-tax 401k retirement savings" sqref="B5"/>
    <dataValidation allowBlank="1" showInputMessage="1" showErrorMessage="1" promptTitle="Previous Year Balance" prompt="Enter in the amount of money in your account at the start of this year" sqref="B2"/>
    <dataValidation allowBlank="1" showInputMessage="1" showErrorMessage="1" promptTitle="Gross Pay" prompt="Amount of pre-taxed income received this year" sqref="B1"/>
    <dataValidation allowBlank="1" showInputMessage="1" showErrorMessage="1" promptTitle="Spendable Income" prompt="Amount of spendable income earned this year" sqref="G1"/>
    <dataValidation allowBlank="1" showInputMessage="1" showErrorMessage="1" promptTitle="Yearly Difference" prompt="Amount of money gained/lossed since the beginning of the year" sqref="L1"/>
  </dataValidations>
  <pageMargins left="0.7" right="0.7" top="0.75" bottom="0.75" header="0.3" footer="0.3"/>
  <pageSetup orientation="portrait" horizontalDpi="90" verticalDpi="90" r:id="rId1"/>
  <ignoredErrors>
    <ignoredError sqref="C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88</v>
      </c>
      <c r="F2" t="s">
        <v>30</v>
      </c>
      <c r="G2" s="2">
        <f>Jul!J28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89</v>
      </c>
      <c r="F2" t="s">
        <v>30</v>
      </c>
      <c r="G2" s="2">
        <f>Aug!J28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90</v>
      </c>
      <c r="F2" t="s">
        <v>30</v>
      </c>
      <c r="G2" s="2">
        <f>Sep!J28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91</v>
      </c>
      <c r="F2" t="s">
        <v>30</v>
      </c>
      <c r="G2" s="2">
        <f>Oct!J28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F31" sqref="F31"/>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92</v>
      </c>
      <c r="F2" t="s">
        <v>30</v>
      </c>
      <c r="G2" s="2">
        <f>Nov!J28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 sqref="D2"/>
    </sheetView>
  </sheetViews>
  <sheetFormatPr baseColWidth="10" defaultColWidth="8.83203125" defaultRowHeight="15" x14ac:dyDescent="0.2"/>
  <cols>
    <col min="1" max="1" width="15" bestFit="1" customWidth="1"/>
    <col min="2" max="2" width="11.33203125" bestFit="1" customWidth="1"/>
    <col min="3" max="3" width="22" bestFit="1" customWidth="1"/>
    <col min="4" max="4" width="10.6640625" style="104" bestFit="1" customWidth="1"/>
    <col min="5" max="5" width="10.5" bestFit="1" customWidth="1"/>
    <col min="6" max="6" width="7.83203125" bestFit="1" customWidth="1"/>
    <col min="7" max="7" width="14.5" bestFit="1" customWidth="1"/>
  </cols>
  <sheetData>
    <row r="1" spans="1:7" x14ac:dyDescent="0.2">
      <c r="A1" s="130" t="s">
        <v>96</v>
      </c>
      <c r="B1" s="130"/>
      <c r="C1" s="130"/>
      <c r="D1" s="2">
        <v>25000</v>
      </c>
    </row>
    <row r="2" spans="1:7" x14ac:dyDescent="0.2">
      <c r="A2" s="110"/>
      <c r="B2" s="110"/>
      <c r="C2" s="110"/>
      <c r="D2" s="2"/>
    </row>
    <row r="3" spans="1:7" ht="16" thickBot="1" x14ac:dyDescent="0.25"/>
    <row r="4" spans="1:7" x14ac:dyDescent="0.2">
      <c r="A4" t="s">
        <v>76</v>
      </c>
      <c r="B4" s="9">
        <f>Jan!J30+Feb!J30+Mar!J30+Apr!J30+May!J30+Jun!J30+Jul!J30+Aug!J30+Sep!J30+Oct!J30+Nov!J30+'Monthly Breakdown'!B2-$D$1</f>
        <v>1208.1999999999971</v>
      </c>
      <c r="G4" s="106" t="s">
        <v>82</v>
      </c>
    </row>
    <row r="5" spans="1:7" ht="16" thickBot="1" x14ac:dyDescent="0.25">
      <c r="A5" s="2"/>
      <c r="G5" s="107">
        <f>SUM(G7:G14)</f>
        <v>40</v>
      </c>
    </row>
    <row r="6" spans="1:7" x14ac:dyDescent="0.2">
      <c r="C6" s="103" t="s">
        <v>73</v>
      </c>
      <c r="D6" s="105" t="s">
        <v>60</v>
      </c>
      <c r="E6" s="103" t="s">
        <v>62</v>
      </c>
      <c r="F6" s="103" t="s">
        <v>74</v>
      </c>
      <c r="G6" s="103" t="s">
        <v>75</v>
      </c>
    </row>
    <row r="7" spans="1:7" x14ac:dyDescent="0.2">
      <c r="C7" t="s">
        <v>87</v>
      </c>
      <c r="D7" s="104">
        <v>42842</v>
      </c>
      <c r="E7" s="2">
        <v>150</v>
      </c>
      <c r="F7">
        <v>10</v>
      </c>
      <c r="G7" s="9">
        <f>E7/F7</f>
        <v>15</v>
      </c>
    </row>
    <row r="8" spans="1:7" x14ac:dyDescent="0.2">
      <c r="C8" t="s">
        <v>84</v>
      </c>
      <c r="D8" s="104">
        <v>42842</v>
      </c>
      <c r="E8" s="2">
        <v>250</v>
      </c>
      <c r="F8">
        <v>10</v>
      </c>
      <c r="G8" s="9">
        <f>E8/F8</f>
        <v>25</v>
      </c>
    </row>
    <row r="9" spans="1:7" x14ac:dyDescent="0.2">
      <c r="E9" s="2"/>
      <c r="G9" s="9"/>
    </row>
    <row r="10" spans="1:7" x14ac:dyDescent="0.2">
      <c r="E10" s="2"/>
      <c r="G10" s="9"/>
    </row>
    <row r="11" spans="1:7" x14ac:dyDescent="0.2">
      <c r="G11" s="9"/>
    </row>
    <row r="12" spans="1:7" x14ac:dyDescent="0.2">
      <c r="G12" s="9"/>
    </row>
    <row r="13" spans="1:7" x14ac:dyDescent="0.2">
      <c r="G13" s="9"/>
    </row>
    <row r="14" spans="1:7" x14ac:dyDescent="0.2">
      <c r="G14" s="9"/>
    </row>
  </sheetData>
  <mergeCells count="1">
    <mergeCell ref="A1:C1"/>
  </mergeCells>
  <dataValidations count="3">
    <dataValidation allowBlank="1" showInputMessage="1" showErrorMessage="1" promptTitle="Emergency Cash Fund" prompt="Typically 3-12 months worth of expenses (Ex: if you spend $3,000 per month, this amount should be between $9,000 and $36,000)" sqref="D1"/>
    <dataValidation allowBlank="1" showInputMessage="1" showErrorMessage="1" promptTitle="Savings Balance" prompt="Amount of excess money you have saved that is over your emergency cash funds amount" sqref="B4"/>
    <dataValidation allowBlank="1" showInputMessage="1" showErrorMessage="1" promptTitle="Recommended Monthly Savings" prompt="Amount of money required to save per month depending on the items below that are being saved for" sqref="G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J18" sqref="J18"/>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5" bestFit="1" customWidth="1"/>
    <col min="14" max="14" width="9.5" style="9" bestFit="1" customWidth="1"/>
    <col min="15" max="15" width="2.6640625" customWidth="1"/>
    <col min="16" max="16" width="11.5" style="59" customWidth="1"/>
    <col min="17" max="17" width="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16</v>
      </c>
      <c r="F2" t="s">
        <v>30</v>
      </c>
      <c r="G2" s="2">
        <f>'Monthly Breakdown'!B2</f>
        <v>18895.86</v>
      </c>
      <c r="I2" s="9"/>
    </row>
    <row r="3" spans="2:38" x14ac:dyDescent="0.2">
      <c r="B3" s="10" t="s">
        <v>23</v>
      </c>
      <c r="C3" s="9">
        <f>C6*24</f>
        <v>64887.12</v>
      </c>
      <c r="F3" s="109" t="s">
        <v>29</v>
      </c>
      <c r="G3" s="4">
        <f>D29</f>
        <v>3533.4096000000004</v>
      </c>
    </row>
    <row r="4" spans="2:38" x14ac:dyDescent="0.2">
      <c r="F4" t="s">
        <v>31</v>
      </c>
      <c r="G4" s="2">
        <f>80-1321+100+519+1020+107</f>
        <v>505</v>
      </c>
      <c r="I4" t="s">
        <v>81</v>
      </c>
      <c r="J4" s="9">
        <f>SUM(N4,R4,V4,Z4,AD4,AH4)</f>
        <v>-88.44</v>
      </c>
      <c r="L4" s="131" t="str">
        <f>CONCATENATE(L7," Budget")</f>
        <v>Gas Budget</v>
      </c>
      <c r="M4" s="131"/>
      <c r="N4" s="9">
        <f>-N8+'Monthly Breakdown'!Q50</f>
        <v>17.240000000000009</v>
      </c>
      <c r="P4" s="131" t="str">
        <f>CONCATENATE(P7," Budget")</f>
        <v>Groceries Budget</v>
      </c>
      <c r="Q4" s="131"/>
      <c r="R4" s="9">
        <f>-R8+'Monthly Breakdown'!Q51</f>
        <v>-23.299999999999983</v>
      </c>
      <c r="T4" s="131" t="str">
        <f>CONCATENATE(T7," Budget")</f>
        <v>Eating Out Budget</v>
      </c>
      <c r="U4" s="131"/>
      <c r="V4" s="9">
        <f>-V8+'Monthly Breakdown'!Q52</f>
        <v>-59.150000000000034</v>
      </c>
      <c r="X4" s="131" t="str">
        <f>CONCATENATE(X7," Budget")</f>
        <v>Going Out Budget</v>
      </c>
      <c r="Y4" s="131"/>
      <c r="Z4" s="9">
        <f>-Z8+'Monthly Breakdown'!Q53</f>
        <v>28.180000000000007</v>
      </c>
      <c r="AB4" s="131" t="str">
        <f>CONCATENATE(AB7," Budget")</f>
        <v>Miscellaneous Needs Budget</v>
      </c>
      <c r="AC4" s="131"/>
      <c r="AD4" s="9">
        <f>-AD8+'Monthly Breakdown'!Q54</f>
        <v>15.960000000000008</v>
      </c>
      <c r="AF4" s="131" t="str">
        <f>CONCATENATE(AF7," Budget")</f>
        <v>Miscellaneous Desires Budget</v>
      </c>
      <c r="AG4" s="131"/>
      <c r="AH4" s="9">
        <f>-AH8+'Monthly Breakdown'!Q55</f>
        <v>-67.37</v>
      </c>
      <c r="AJ4" s="131"/>
      <c r="AK4" s="131"/>
      <c r="AL4" s="9"/>
    </row>
    <row r="5" spans="2:38" ht="16" thickBot="1" x14ac:dyDescent="0.25">
      <c r="B5" s="18" t="s">
        <v>15</v>
      </c>
      <c r="C5" s="19" t="s">
        <v>17</v>
      </c>
      <c r="D5" s="20" t="s">
        <v>18</v>
      </c>
      <c r="F5" s="109" t="s">
        <v>32</v>
      </c>
      <c r="G5" s="4">
        <f>SUM(G2:G4)</f>
        <v>22934.2696</v>
      </c>
      <c r="AJ5" s="59"/>
      <c r="AL5" s="9"/>
    </row>
    <row r="6" spans="2:38" ht="16" thickBot="1" x14ac:dyDescent="0.25">
      <c r="B6" s="21" t="s">
        <v>19</v>
      </c>
      <c r="C6" s="90">
        <v>2703.63</v>
      </c>
      <c r="D6" s="22">
        <v>2703.63</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2703.63</v>
      </c>
      <c r="D8" s="24">
        <f>D6+D7</f>
        <v>2703.63</v>
      </c>
      <c r="F8" s="48" t="str">
        <f>'Monthly Breakdown'!A29</f>
        <v>Living</v>
      </c>
      <c r="G8" s="91">
        <v>700</v>
      </c>
      <c r="H8" s="10"/>
      <c r="I8" s="10"/>
      <c r="J8" s="49"/>
      <c r="L8" s="137" t="s">
        <v>63</v>
      </c>
      <c r="M8" s="137"/>
      <c r="N8" s="60">
        <f>SUM(N10:N50)</f>
        <v>132.76</v>
      </c>
      <c r="P8" s="137" t="s">
        <v>63</v>
      </c>
      <c r="Q8" s="137"/>
      <c r="R8" s="60">
        <f>SUM(R10:R50)</f>
        <v>123.29999999999998</v>
      </c>
      <c r="T8" s="137" t="s">
        <v>63</v>
      </c>
      <c r="U8" s="137"/>
      <c r="V8" s="60">
        <f>SUM(V10:V50)</f>
        <v>309.15000000000003</v>
      </c>
      <c r="X8" s="137" t="s">
        <v>63</v>
      </c>
      <c r="Y8" s="137"/>
      <c r="Z8" s="60">
        <f>SUM(Z10:Z50)</f>
        <v>121.82</v>
      </c>
      <c r="AB8" s="137" t="s">
        <v>63</v>
      </c>
      <c r="AC8" s="137"/>
      <c r="AD8" s="60">
        <f>SUM(AD10:AD50)</f>
        <v>84.039999999999992</v>
      </c>
      <c r="AF8" s="137" t="s">
        <v>63</v>
      </c>
      <c r="AG8" s="137"/>
      <c r="AH8" s="60">
        <f>SUM(AH10:AH50)</f>
        <v>367.37</v>
      </c>
      <c r="AI8" s="10"/>
      <c r="AJ8" s="133"/>
      <c r="AK8" s="133"/>
      <c r="AL8" s="113"/>
    </row>
    <row r="9" spans="2:38" x14ac:dyDescent="0.2">
      <c r="B9" s="25"/>
      <c r="C9" s="8"/>
      <c r="D9" s="26">
        <f>SUM(C8:D8)</f>
        <v>5407.26</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L10" s="59">
        <v>42740</v>
      </c>
      <c r="M10" t="s">
        <v>104</v>
      </c>
      <c r="N10" s="89">
        <v>36.159999999999997</v>
      </c>
      <c r="P10" s="59">
        <v>42736</v>
      </c>
      <c r="Q10" t="s">
        <v>105</v>
      </c>
      <c r="R10" s="9">
        <v>15</v>
      </c>
      <c r="T10" s="59">
        <v>42736</v>
      </c>
      <c r="U10" t="s">
        <v>106</v>
      </c>
      <c r="V10" s="89">
        <v>10</v>
      </c>
      <c r="X10" s="59">
        <v>42736</v>
      </c>
      <c r="Y10" t="s">
        <v>106</v>
      </c>
      <c r="Z10" s="89">
        <v>9.2799999999999994</v>
      </c>
      <c r="AB10" s="59">
        <v>42738</v>
      </c>
      <c r="AC10" t="s">
        <v>107</v>
      </c>
      <c r="AD10" s="89">
        <f>22.04-8</f>
        <v>14.04</v>
      </c>
      <c r="AF10" s="59">
        <v>42737</v>
      </c>
      <c r="AG10" t="s">
        <v>108</v>
      </c>
      <c r="AH10" s="89">
        <v>4.4400000000000004</v>
      </c>
    </row>
    <row r="11" spans="2:38" ht="16" thickBot="1" x14ac:dyDescent="0.25">
      <c r="B11" s="18" t="s">
        <v>26</v>
      </c>
      <c r="C11" s="27"/>
      <c r="D11" s="28"/>
      <c r="F11" s="51" t="str">
        <f>'Monthly Breakdown'!A32</f>
        <v>Electricity Bill</v>
      </c>
      <c r="G11" s="3">
        <f>62/4</f>
        <v>15.5</v>
      </c>
      <c r="H11" s="10"/>
      <c r="I11" s="10" t="str">
        <f>'Monthly Breakdown'!A50</f>
        <v>Gas</v>
      </c>
      <c r="J11" s="22">
        <f>N8</f>
        <v>132.76</v>
      </c>
      <c r="L11" s="59">
        <v>42743</v>
      </c>
      <c r="M11" t="s">
        <v>109</v>
      </c>
      <c r="N11" s="89">
        <v>27.84</v>
      </c>
      <c r="P11" s="59">
        <v>42744</v>
      </c>
      <c r="Q11" t="s">
        <v>104</v>
      </c>
      <c r="R11" s="89">
        <v>31.8</v>
      </c>
      <c r="T11" s="59">
        <v>42736</v>
      </c>
      <c r="U11" t="s">
        <v>110</v>
      </c>
      <c r="V11" s="89">
        <v>14</v>
      </c>
      <c r="X11" s="59">
        <v>42750</v>
      </c>
      <c r="Y11" t="s">
        <v>111</v>
      </c>
      <c r="Z11" s="89">
        <v>13</v>
      </c>
      <c r="AB11" s="59">
        <v>42754</v>
      </c>
      <c r="AC11" t="s">
        <v>112</v>
      </c>
      <c r="AD11" s="89">
        <f>70</f>
        <v>70</v>
      </c>
      <c r="AF11" s="59">
        <v>42737</v>
      </c>
      <c r="AG11" t="s">
        <v>113</v>
      </c>
      <c r="AH11" s="89">
        <f>2.17</f>
        <v>2.17</v>
      </c>
    </row>
    <row r="12" spans="2:38" x14ac:dyDescent="0.2">
      <c r="B12" s="29" t="str">
        <f>'Monthly Breakdown'!A14</f>
        <v>Withholding Tax (~15%)</v>
      </c>
      <c r="C12" s="30">
        <v>405.92</v>
      </c>
      <c r="D12" s="30">
        <v>405.17</v>
      </c>
      <c r="F12" s="51" t="str">
        <f>'Monthly Breakdown'!A33</f>
        <v>Water Bill</v>
      </c>
      <c r="G12" s="3">
        <f>+(33.64+52.99)/4</f>
        <v>21.657499999999999</v>
      </c>
      <c r="H12" s="10"/>
      <c r="I12" s="10" t="str">
        <f>'Monthly Breakdown'!A51</f>
        <v>Groceries</v>
      </c>
      <c r="J12" s="22">
        <f>R8</f>
        <v>123.29999999999998</v>
      </c>
      <c r="L12" s="59">
        <v>42749</v>
      </c>
      <c r="M12" t="s">
        <v>104</v>
      </c>
      <c r="N12" s="89">
        <v>34.1</v>
      </c>
      <c r="P12" s="59">
        <v>42747</v>
      </c>
      <c r="Q12" t="s">
        <v>104</v>
      </c>
      <c r="R12" s="89">
        <f>13.95-7.55</f>
        <v>6.3999999999999995</v>
      </c>
      <c r="T12" s="59">
        <v>42737</v>
      </c>
      <c r="U12" t="s">
        <v>114</v>
      </c>
      <c r="V12" s="9">
        <v>8.65</v>
      </c>
      <c r="X12" s="59">
        <v>42750</v>
      </c>
      <c r="Y12" t="s">
        <v>115</v>
      </c>
      <c r="Z12" s="89">
        <v>18.5</v>
      </c>
      <c r="AF12" s="59">
        <v>42739</v>
      </c>
      <c r="AG12" t="s">
        <v>116</v>
      </c>
      <c r="AH12" s="89">
        <f>59.69-9.75</f>
        <v>49.94</v>
      </c>
    </row>
    <row r="13" spans="2:38" x14ac:dyDescent="0.2">
      <c r="B13" s="29" t="str">
        <f>'Monthly Breakdown'!A15</f>
        <v>Social Security (6.2%)</v>
      </c>
      <c r="C13" s="30">
        <v>167.81</v>
      </c>
      <c r="D13" s="30">
        <v>167.63</v>
      </c>
      <c r="F13" s="51" t="str">
        <f>'Monthly Breakdown'!A34</f>
        <v>Miscellaneous Bill</v>
      </c>
      <c r="G13" s="3">
        <f>16.53+15.86</f>
        <v>32.39</v>
      </c>
      <c r="H13" s="10"/>
      <c r="I13" s="10" t="str">
        <f>'Monthly Breakdown'!A52</f>
        <v>Eating Out</v>
      </c>
      <c r="J13" s="22">
        <f>V8</f>
        <v>309.15000000000003</v>
      </c>
      <c r="L13" s="59">
        <v>42764</v>
      </c>
      <c r="M13" t="s">
        <v>117</v>
      </c>
      <c r="N13" s="89">
        <f>34.66</f>
        <v>34.659999999999997</v>
      </c>
      <c r="P13" s="59">
        <v>42756</v>
      </c>
      <c r="Q13" t="s">
        <v>118</v>
      </c>
      <c r="R13" s="89">
        <v>64.97</v>
      </c>
      <c r="T13" s="59">
        <v>42737</v>
      </c>
      <c r="U13" t="s">
        <v>119</v>
      </c>
      <c r="V13" s="89">
        <v>15.1</v>
      </c>
      <c r="X13" s="59">
        <v>42756</v>
      </c>
      <c r="Y13" t="s">
        <v>120</v>
      </c>
      <c r="Z13" s="89">
        <v>28.54</v>
      </c>
      <c r="AF13" s="59">
        <v>42740</v>
      </c>
      <c r="AG13" t="s">
        <v>121</v>
      </c>
      <c r="AH13" s="89">
        <f>8.14</f>
        <v>8.14</v>
      </c>
    </row>
    <row r="14" spans="2:38" x14ac:dyDescent="0.2">
      <c r="B14" s="29" t="str">
        <f>'Monthly Breakdown'!A16</f>
        <v>Medicare (1.45%)</v>
      </c>
      <c r="C14" s="30">
        <v>39.25</v>
      </c>
      <c r="D14" s="30">
        <v>39.200000000000003</v>
      </c>
      <c r="F14" s="51" t="str">
        <f>'Monthly Breakdown'!A35</f>
        <v>Cable/Internet Bill</v>
      </c>
      <c r="G14" s="90">
        <v>0</v>
      </c>
      <c r="H14" s="10"/>
      <c r="I14" s="10" t="str">
        <f>'Monthly Breakdown'!A53</f>
        <v>Going Out</v>
      </c>
      <c r="J14" s="22">
        <f>Z8</f>
        <v>121.82</v>
      </c>
      <c r="P14" s="59">
        <v>42766</v>
      </c>
      <c r="Q14" t="s">
        <v>104</v>
      </c>
      <c r="R14" s="9">
        <v>5.13</v>
      </c>
      <c r="T14" s="59">
        <v>42740</v>
      </c>
      <c r="U14" t="s">
        <v>122</v>
      </c>
      <c r="V14" s="9">
        <v>9.01</v>
      </c>
      <c r="X14" s="59">
        <v>42758</v>
      </c>
      <c r="Y14" t="s">
        <v>123</v>
      </c>
      <c r="Z14" s="89">
        <f>37+2.5</f>
        <v>39.5</v>
      </c>
      <c r="AF14" s="59">
        <v>42740</v>
      </c>
      <c r="AG14" t="s">
        <v>124</v>
      </c>
      <c r="AH14" s="89">
        <v>7.5</v>
      </c>
    </row>
    <row r="15" spans="2:38" x14ac:dyDescent="0.2">
      <c r="B15" s="31" t="s">
        <v>24</v>
      </c>
      <c r="C15" s="11">
        <f>SUM(C12:C14)</f>
        <v>612.98</v>
      </c>
      <c r="D15" s="32">
        <f>SUM(D12:D14)</f>
        <v>612</v>
      </c>
      <c r="F15" s="52" t="s">
        <v>39</v>
      </c>
      <c r="G15" s="91">
        <f>SUM(G11:G14)</f>
        <v>69.547499999999999</v>
      </c>
      <c r="H15" s="10"/>
      <c r="I15" s="10" t="str">
        <f>'Monthly Breakdown'!A54</f>
        <v>Miscellaneous Needs</v>
      </c>
      <c r="J15" s="22">
        <f>AD8</f>
        <v>84.039999999999992</v>
      </c>
      <c r="T15" s="59">
        <v>42741</v>
      </c>
      <c r="U15" t="s">
        <v>125</v>
      </c>
      <c r="V15" s="89">
        <v>12.21</v>
      </c>
      <c r="X15" s="59">
        <v>42759</v>
      </c>
      <c r="Y15" t="s">
        <v>126</v>
      </c>
      <c r="Z15" s="89">
        <f>13</f>
        <v>13</v>
      </c>
      <c r="AF15" s="59">
        <v>42744</v>
      </c>
      <c r="AG15" t="s">
        <v>127</v>
      </c>
      <c r="AH15" s="9">
        <v>2.16</v>
      </c>
    </row>
    <row r="16" spans="2:38" ht="16" thickBot="1" x14ac:dyDescent="0.25">
      <c r="B16" s="29" t="s">
        <v>25</v>
      </c>
      <c r="C16" s="13">
        <f>C15/C8</f>
        <v>0.22672481071744285</v>
      </c>
      <c r="D16" s="33">
        <f>D15/D8</f>
        <v>0.22636233508283307</v>
      </c>
      <c r="F16" s="21"/>
      <c r="G16" s="3"/>
      <c r="H16" s="10"/>
      <c r="I16" s="10" t="str">
        <f>'Monthly Breakdown'!A55</f>
        <v>Miscellaneous Desires</v>
      </c>
      <c r="J16" s="22">
        <f>AH8</f>
        <v>367.37</v>
      </c>
      <c r="T16" s="59">
        <v>42748</v>
      </c>
      <c r="U16" t="s">
        <v>128</v>
      </c>
      <c r="V16" s="89">
        <v>19.5</v>
      </c>
      <c r="AF16" s="59">
        <v>42748</v>
      </c>
      <c r="AG16" t="s">
        <v>129</v>
      </c>
      <c r="AH16" s="9">
        <v>1.62</v>
      </c>
    </row>
    <row r="17" spans="2:34" ht="16" thickBot="1" x14ac:dyDescent="0.25">
      <c r="B17" s="29"/>
      <c r="C17" s="13"/>
      <c r="D17" s="34">
        <f>SUM(C15:D15)</f>
        <v>1224.98</v>
      </c>
      <c r="F17" s="54" t="s">
        <v>46</v>
      </c>
      <c r="G17" s="3"/>
      <c r="H17" s="10"/>
      <c r="I17" s="10" t="str">
        <f>'Monthly Breakdown'!A56</f>
        <v>Acorns</v>
      </c>
      <c r="J17" s="22">
        <f>1.2+3.75+2.03+2.52</f>
        <v>9.5</v>
      </c>
      <c r="R17" s="89"/>
      <c r="T17" s="59">
        <v>42750</v>
      </c>
      <c r="U17" t="s">
        <v>130</v>
      </c>
      <c r="V17" s="9">
        <v>20.58</v>
      </c>
      <c r="AF17" s="59">
        <v>42749</v>
      </c>
      <c r="AG17" t="s">
        <v>131</v>
      </c>
      <c r="AH17" s="9">
        <v>61.13</v>
      </c>
    </row>
    <row r="18" spans="2:34" x14ac:dyDescent="0.2">
      <c r="B18" s="35"/>
      <c r="C18" s="36"/>
      <c r="D18" s="37">
        <f>D17/D9</f>
        <v>0.22654357290013796</v>
      </c>
      <c r="F18" s="21" t="str">
        <f>'Monthly Breakdown'!A39</f>
        <v>Car Payment</v>
      </c>
      <c r="G18" s="3">
        <v>497.3</v>
      </c>
      <c r="H18" s="10"/>
      <c r="I18" s="10" t="str">
        <f>'Monthly Breakdown'!A57</f>
        <v>Travel/Vacation</v>
      </c>
      <c r="J18" s="22">
        <f>J33</f>
        <v>484.28</v>
      </c>
      <c r="T18" s="59">
        <v>42751</v>
      </c>
      <c r="U18" t="s">
        <v>132</v>
      </c>
      <c r="V18" s="9">
        <v>10.16</v>
      </c>
      <c r="Z18" s="89"/>
      <c r="AF18" s="59">
        <v>42750</v>
      </c>
      <c r="AG18" t="s">
        <v>133</v>
      </c>
      <c r="AH18" s="9">
        <f>8+1.02</f>
        <v>9.02</v>
      </c>
    </row>
    <row r="19" spans="2:34" x14ac:dyDescent="0.2">
      <c r="F19" s="21" t="str">
        <f>'Monthly Breakdown'!A40</f>
        <v>Auto Insurance</v>
      </c>
      <c r="G19" s="3">
        <v>320</v>
      </c>
      <c r="H19" s="10"/>
      <c r="I19" s="44" t="s">
        <v>55</v>
      </c>
      <c r="J19" s="53">
        <f>SUM(J11:J18)</f>
        <v>1632.22</v>
      </c>
      <c r="T19" s="59">
        <v>42752</v>
      </c>
      <c r="U19" t="s">
        <v>134</v>
      </c>
      <c r="V19" s="9">
        <v>11.9</v>
      </c>
      <c r="AF19" s="59">
        <v>42752</v>
      </c>
      <c r="AG19" t="s">
        <v>135</v>
      </c>
      <c r="AH19" s="89">
        <f>97.35+43.65</f>
        <v>141</v>
      </c>
    </row>
    <row r="20" spans="2:34" ht="16" thickBot="1" x14ac:dyDescent="0.25">
      <c r="B20" s="18" t="s">
        <v>27</v>
      </c>
      <c r="C20" s="27"/>
      <c r="D20" s="28"/>
      <c r="F20" s="21" t="str">
        <f>'Monthly Breakdown'!A41</f>
        <v>Cell Phone Bill</v>
      </c>
      <c r="G20" s="3">
        <v>90</v>
      </c>
      <c r="H20" s="10"/>
      <c r="I20" s="10"/>
      <c r="J20" s="22"/>
      <c r="T20" s="59">
        <v>42753</v>
      </c>
      <c r="U20" t="s">
        <v>136</v>
      </c>
      <c r="V20" s="89">
        <v>11.58</v>
      </c>
      <c r="AF20" s="59">
        <v>42761</v>
      </c>
      <c r="AG20" t="s">
        <v>137</v>
      </c>
      <c r="AH20" s="9">
        <v>76</v>
      </c>
    </row>
    <row r="21" spans="2:34" ht="16" thickBot="1" x14ac:dyDescent="0.25">
      <c r="B21" s="29" t="str">
        <f>'Monthly Breakdown'!A20</f>
        <v>Roth RSP Savings (10%)</v>
      </c>
      <c r="C21" s="22">
        <v>216.29</v>
      </c>
      <c r="D21" s="22">
        <v>216.29</v>
      </c>
      <c r="F21" s="21" t="str">
        <f>'Monthly Breakdown'!A42</f>
        <v>Savings</v>
      </c>
      <c r="G21" s="3">
        <v>80</v>
      </c>
      <c r="H21" s="10"/>
      <c r="I21" s="45" t="s">
        <v>56</v>
      </c>
      <c r="J21" s="93">
        <f>SUM(G26,J19)</f>
        <v>3457.5174999999999</v>
      </c>
      <c r="T21" s="59">
        <v>42754</v>
      </c>
      <c r="U21" t="s">
        <v>138</v>
      </c>
      <c r="V21" s="89">
        <v>8.52</v>
      </c>
      <c r="AF21" s="59">
        <v>42764</v>
      </c>
      <c r="AG21" t="s">
        <v>139</v>
      </c>
      <c r="AH21" s="89">
        <f>4.25</f>
        <v>4.25</v>
      </c>
    </row>
    <row r="22" spans="2:34" x14ac:dyDescent="0.2">
      <c r="B22" s="29" t="str">
        <f>'Monthly Breakdown'!A21</f>
        <v>Pre-Tax RSP Savings (4%)</v>
      </c>
      <c r="C22" s="22">
        <f>C6*'Monthly Breakdown'!$B$5</f>
        <v>108.1452</v>
      </c>
      <c r="D22" s="22">
        <f>D6*'Monthly Breakdown'!$B$5</f>
        <v>108.1452</v>
      </c>
      <c r="F22" s="21" t="str">
        <f>'Monthly Breakdown'!A43</f>
        <v>Gym Membership</v>
      </c>
      <c r="G22" s="3">
        <v>52.24</v>
      </c>
      <c r="H22" s="10"/>
      <c r="I22" s="10"/>
      <c r="J22" s="49"/>
      <c r="T22" s="59">
        <v>42755</v>
      </c>
      <c r="U22" t="s">
        <v>140</v>
      </c>
      <c r="V22" s="89">
        <v>28.92</v>
      </c>
    </row>
    <row r="23" spans="2:34" x14ac:dyDescent="0.2">
      <c r="B23" s="31" t="s">
        <v>28</v>
      </c>
      <c r="C23" s="12">
        <f>SUM(C21:C22)</f>
        <v>324.43520000000001</v>
      </c>
      <c r="D23" s="38">
        <f>SUM(D21:D22)</f>
        <v>324.43520000000001</v>
      </c>
      <c r="F23" s="21" t="str">
        <f>'Monthly Breakdown'!A44</f>
        <v>Spotify Membership</v>
      </c>
      <c r="G23" s="3">
        <v>5.4</v>
      </c>
      <c r="H23" s="10"/>
      <c r="I23" s="10"/>
      <c r="J23" s="49"/>
      <c r="T23" s="59">
        <v>42755</v>
      </c>
      <c r="U23" t="s">
        <v>141</v>
      </c>
      <c r="V23" s="89">
        <v>10.67</v>
      </c>
    </row>
    <row r="24" spans="2:34" ht="16" thickBot="1" x14ac:dyDescent="0.25">
      <c r="B24" s="21"/>
      <c r="C24" s="39">
        <f>C23/C6</f>
        <v>0.11999985205076139</v>
      </c>
      <c r="D24" s="40">
        <f>D23/D6</f>
        <v>0.11999985205076139</v>
      </c>
      <c r="F24" s="21" t="str">
        <f>'Monthly Breakdown'!A45</f>
        <v>Netflix</v>
      </c>
      <c r="G24" s="90">
        <v>10.81</v>
      </c>
      <c r="H24" s="10"/>
      <c r="I24" s="10"/>
      <c r="J24" s="49"/>
      <c r="T24" s="59">
        <v>42757</v>
      </c>
      <c r="U24" t="s">
        <v>142</v>
      </c>
      <c r="V24" s="9">
        <v>21.5</v>
      </c>
    </row>
    <row r="25" spans="2:34" ht="16" thickBot="1" x14ac:dyDescent="0.25">
      <c r="B25" s="21"/>
      <c r="C25" s="10"/>
      <c r="D25" s="41">
        <f>SUM(C23:D23)</f>
        <v>648.87040000000002</v>
      </c>
      <c r="F25" s="55" t="s">
        <v>48</v>
      </c>
      <c r="G25" s="43">
        <f>SUM(G18:G24)</f>
        <v>1055.75</v>
      </c>
      <c r="H25" s="10"/>
      <c r="I25" s="10"/>
      <c r="J25" s="49"/>
      <c r="T25" s="59">
        <v>42758</v>
      </c>
      <c r="U25" t="s">
        <v>143</v>
      </c>
      <c r="V25" s="89">
        <f>31.21</f>
        <v>31.21</v>
      </c>
    </row>
    <row r="26" spans="2:34" x14ac:dyDescent="0.2">
      <c r="B26" s="25"/>
      <c r="C26" s="8"/>
      <c r="D26" s="42">
        <f>D25/SUM(C6:D6)</f>
        <v>0.11999985205076139</v>
      </c>
      <c r="F26" s="94" t="s">
        <v>47</v>
      </c>
      <c r="G26" s="95">
        <f>SUM(G8,G15,G25)</f>
        <v>1825.2975000000001</v>
      </c>
      <c r="H26" s="8"/>
      <c r="I26" s="8"/>
      <c r="J26" s="56"/>
      <c r="T26" s="59">
        <v>42760</v>
      </c>
      <c r="U26" t="s">
        <v>144</v>
      </c>
      <c r="V26" s="89">
        <f>10.97</f>
        <v>10.97</v>
      </c>
    </row>
    <row r="27" spans="2:34" ht="16" thickBot="1" x14ac:dyDescent="0.25">
      <c r="T27" s="59">
        <v>42762</v>
      </c>
      <c r="U27" t="s">
        <v>145</v>
      </c>
      <c r="V27" s="9">
        <v>7.69</v>
      </c>
    </row>
    <row r="28" spans="2:34" ht="16" thickBot="1" x14ac:dyDescent="0.25">
      <c r="B28" s="14" t="s">
        <v>29</v>
      </c>
      <c r="C28" s="15">
        <f>C8-C15-C23</f>
        <v>1766.2148000000002</v>
      </c>
      <c r="D28" s="16">
        <f>D8-D15-D23</f>
        <v>1767.1948000000002</v>
      </c>
      <c r="I28" s="14" t="s">
        <v>57</v>
      </c>
      <c r="J28" s="57">
        <f>G5-J21</f>
        <v>19476.752099999998</v>
      </c>
      <c r="T28" s="59">
        <v>42763</v>
      </c>
      <c r="U28" t="s">
        <v>146</v>
      </c>
      <c r="V28" s="9">
        <v>8.07</v>
      </c>
    </row>
    <row r="29" spans="2:34" ht="16" thickBot="1" x14ac:dyDescent="0.25">
      <c r="D29" s="17">
        <f>SUM(C28:D28)</f>
        <v>3533.4096000000004</v>
      </c>
      <c r="T29" s="59">
        <v>42763</v>
      </c>
      <c r="U29" t="s">
        <v>147</v>
      </c>
      <c r="V29" s="89">
        <f>12.55</f>
        <v>12.55</v>
      </c>
    </row>
    <row r="30" spans="2:34" x14ac:dyDescent="0.2">
      <c r="I30" t="s">
        <v>77</v>
      </c>
      <c r="J30" s="9">
        <f>J28-G2</f>
        <v>580.8920999999973</v>
      </c>
      <c r="T30" s="59">
        <v>42764</v>
      </c>
      <c r="U30" t="s">
        <v>148</v>
      </c>
      <c r="V30" s="89">
        <f>10.99</f>
        <v>10.99</v>
      </c>
    </row>
    <row r="31" spans="2:34" x14ac:dyDescent="0.2">
      <c r="T31" s="59">
        <v>42765</v>
      </c>
      <c r="U31" t="s">
        <v>149</v>
      </c>
      <c r="V31" s="89">
        <f>6.52</f>
        <v>6.52</v>
      </c>
    </row>
    <row r="32" spans="2:34" ht="16" thickBot="1" x14ac:dyDescent="0.25">
      <c r="I32" s="115" t="str">
        <f>I18</f>
        <v>Travel/Vacation</v>
      </c>
      <c r="J32" s="116"/>
      <c r="T32" s="59">
        <v>42765</v>
      </c>
      <c r="U32" t="s">
        <v>125</v>
      </c>
      <c r="V32" s="89">
        <f>8.85</f>
        <v>8.85</v>
      </c>
    </row>
    <row r="33" spans="9:10" x14ac:dyDescent="0.2">
      <c r="I33" s="120" t="s">
        <v>63</v>
      </c>
      <c r="J33" s="117">
        <f>SUM(J35:J38)</f>
        <v>484.28</v>
      </c>
    </row>
    <row r="34" spans="9:10" x14ac:dyDescent="0.2">
      <c r="I34" s="25" t="s">
        <v>61</v>
      </c>
      <c r="J34" s="118" t="s">
        <v>62</v>
      </c>
    </row>
    <row r="35" spans="9:10" x14ac:dyDescent="0.2">
      <c r="I35" s="21" t="s">
        <v>103</v>
      </c>
      <c r="J35" s="124">
        <f>6.56-6.56</f>
        <v>0</v>
      </c>
    </row>
    <row r="36" spans="9:10" x14ac:dyDescent="0.2">
      <c r="I36" s="21" t="s">
        <v>100</v>
      </c>
      <c r="J36" s="30">
        <v>50</v>
      </c>
    </row>
    <row r="37" spans="9:10" x14ac:dyDescent="0.2">
      <c r="I37" s="21" t="s">
        <v>101</v>
      </c>
      <c r="J37" s="122">
        <f>24+9</f>
        <v>33</v>
      </c>
    </row>
    <row r="38" spans="9:10" x14ac:dyDescent="0.2">
      <c r="I38" s="25" t="s">
        <v>102</v>
      </c>
      <c r="J38" s="123">
        <v>401.28</v>
      </c>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Withholding Tax" prompt="Varies per individual and per paycheck. Could be in between 10-40% depending on which tax bracket you are in" sqref="C12:D12"/>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Living" prompt="Insert the monthly living amound (rent, mortgage, etc.)" sqref="G8"/>
    <dataValidation allowBlank="1" showInputMessage="1" showErrorMessage="1" promptTitle="Gain/Loss" prompt="Total amount of money either gained or lossed since month's start" sqref="J30"/>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count Balance" prompt="Current account balance to be rolled over into next month" sqref="J28"/>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M17" sqref="M17"/>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93</v>
      </c>
      <c r="F2" t="s">
        <v>30</v>
      </c>
      <c r="G2" s="2">
        <f>Jan!J28</f>
        <v>19476.752099999998</v>
      </c>
      <c r="I2" s="9"/>
    </row>
    <row r="3" spans="2:38" x14ac:dyDescent="0.2">
      <c r="B3" s="10" t="s">
        <v>23</v>
      </c>
      <c r="C3" s="9">
        <f>C6*24</f>
        <v>64887.12</v>
      </c>
      <c r="F3" s="111" t="s">
        <v>29</v>
      </c>
      <c r="G3" s="4">
        <f>D29</f>
        <v>10809.303599999999</v>
      </c>
    </row>
    <row r="4" spans="2:38" x14ac:dyDescent="0.2">
      <c r="F4" t="s">
        <v>31</v>
      </c>
      <c r="G4" s="2">
        <f>-0.02</f>
        <v>-0.02</v>
      </c>
      <c r="I4" t="s">
        <v>81</v>
      </c>
      <c r="J4" s="9">
        <f>SUM(N4,R4,V4,Z4,AD4,AH4)</f>
        <v>-63.210000000000022</v>
      </c>
      <c r="L4" s="131" t="str">
        <f>CONCATENATE(L7," Budget")</f>
        <v>Gas Budget</v>
      </c>
      <c r="M4" s="131"/>
      <c r="N4" s="9">
        <f>-N8+'Monthly Breakdown'!Q50</f>
        <v>81.099999999999994</v>
      </c>
      <c r="P4" s="131" t="str">
        <f>CONCATENATE(P7," Budget")</f>
        <v>Groceries Budget</v>
      </c>
      <c r="Q4" s="131"/>
      <c r="R4" s="9">
        <f>-R8+'Monthly Breakdown'!Q51</f>
        <v>-11.86</v>
      </c>
      <c r="T4" s="131" t="str">
        <f>CONCATENATE(T7," Budget")</f>
        <v>Eating Out Budget</v>
      </c>
      <c r="U4" s="131"/>
      <c r="V4" s="9">
        <f>-V8+'Monthly Breakdown'!Q52</f>
        <v>-45.150000000000034</v>
      </c>
      <c r="X4" s="131" t="str">
        <f>CONCATENATE(X7," Budget")</f>
        <v>Going Out Budget</v>
      </c>
      <c r="Y4" s="131"/>
      <c r="Z4" s="9">
        <f>-Z8+'Monthly Breakdown'!Q53</f>
        <v>-81.91</v>
      </c>
      <c r="AB4" s="131" t="str">
        <f>CONCATENATE(AB7," Budget")</f>
        <v>Miscellaneous Needs Budget</v>
      </c>
      <c r="AC4" s="131"/>
      <c r="AD4" s="9">
        <f>-AD8+'Monthly Breakdown'!Q54</f>
        <v>-37.329999999999984</v>
      </c>
      <c r="AF4" s="131" t="str">
        <f>CONCATENATE(AF7," Budget")</f>
        <v>Miscellaneous Desires Budget</v>
      </c>
      <c r="AG4" s="131"/>
      <c r="AH4" s="9">
        <f>-AH8+'Monthly Breakdown'!Q55</f>
        <v>31.939999999999998</v>
      </c>
      <c r="AJ4" s="131"/>
      <c r="AK4" s="131"/>
      <c r="AL4" s="9"/>
    </row>
    <row r="5" spans="2:38" ht="16" thickBot="1" x14ac:dyDescent="0.25">
      <c r="B5" s="18" t="s">
        <v>15</v>
      </c>
      <c r="C5" s="19" t="s">
        <v>17</v>
      </c>
      <c r="D5" s="20" t="s">
        <v>18</v>
      </c>
      <c r="F5" s="111" t="s">
        <v>32</v>
      </c>
      <c r="G5" s="4">
        <f>SUM(G2:G4)</f>
        <v>30286.035699999997</v>
      </c>
      <c r="AJ5" s="59"/>
      <c r="AL5" s="9"/>
    </row>
    <row r="6" spans="2:38" ht="16" thickBot="1" x14ac:dyDescent="0.25">
      <c r="B6" s="21" t="s">
        <v>19</v>
      </c>
      <c r="C6" s="90">
        <v>2703.63</v>
      </c>
      <c r="D6" s="22">
        <v>2703.63</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10963.67</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2703.63</v>
      </c>
      <c r="D8" s="24">
        <f>D6+D7</f>
        <v>13667.3</v>
      </c>
      <c r="F8" s="48" t="str">
        <f>'Monthly Breakdown'!A29</f>
        <v>Living</v>
      </c>
      <c r="G8" s="91">
        <v>700</v>
      </c>
      <c r="H8" s="10"/>
      <c r="I8" s="10"/>
      <c r="J8" s="49"/>
      <c r="L8" s="137" t="s">
        <v>63</v>
      </c>
      <c r="M8" s="137"/>
      <c r="N8" s="60">
        <f>SUM(N10:N50)</f>
        <v>68.900000000000006</v>
      </c>
      <c r="P8" s="137" t="s">
        <v>63</v>
      </c>
      <c r="Q8" s="137"/>
      <c r="R8" s="60">
        <f>SUM(R10:R50)</f>
        <v>111.86</v>
      </c>
      <c r="T8" s="137" t="s">
        <v>63</v>
      </c>
      <c r="U8" s="137"/>
      <c r="V8" s="60">
        <f>SUM(V10:V50)</f>
        <v>295.15000000000003</v>
      </c>
      <c r="X8" s="137" t="s">
        <v>63</v>
      </c>
      <c r="Y8" s="137"/>
      <c r="Z8" s="60">
        <f>SUM(Z10:Z50)</f>
        <v>231.91</v>
      </c>
      <c r="AB8" s="137" t="s">
        <v>63</v>
      </c>
      <c r="AC8" s="137"/>
      <c r="AD8" s="60">
        <f>SUM(AD10:AD50)</f>
        <v>137.32999999999998</v>
      </c>
      <c r="AF8" s="137" t="s">
        <v>63</v>
      </c>
      <c r="AG8" s="137"/>
      <c r="AH8" s="60">
        <f>SUM(AH10:AH50)</f>
        <v>268.06</v>
      </c>
      <c r="AI8" s="10"/>
      <c r="AJ8" s="133"/>
      <c r="AK8" s="133"/>
      <c r="AL8" s="113"/>
    </row>
    <row r="9" spans="2:38" x14ac:dyDescent="0.2">
      <c r="B9" s="25"/>
      <c r="C9" s="8"/>
      <c r="D9" s="26">
        <f>SUM(C8:D8)</f>
        <v>16370.93</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L10" s="59">
        <v>42771</v>
      </c>
      <c r="M10" t="s">
        <v>154</v>
      </c>
      <c r="N10" s="89">
        <f>35.91</f>
        <v>35.909999999999997</v>
      </c>
      <c r="P10" s="59">
        <v>42771</v>
      </c>
      <c r="Q10" t="s">
        <v>104</v>
      </c>
      <c r="R10" s="89">
        <f>37.44</f>
        <v>37.44</v>
      </c>
      <c r="T10" s="59">
        <v>42770</v>
      </c>
      <c r="U10" t="s">
        <v>155</v>
      </c>
      <c r="V10" s="89">
        <f>6.45</f>
        <v>6.45</v>
      </c>
      <c r="W10" s="126"/>
      <c r="X10" s="127">
        <v>42770</v>
      </c>
      <c r="Y10" s="126" t="s">
        <v>156</v>
      </c>
      <c r="Z10" s="89">
        <v>15.16</v>
      </c>
      <c r="AA10" s="126"/>
      <c r="AB10" s="127">
        <v>42776</v>
      </c>
      <c r="AC10" s="126" t="s">
        <v>157</v>
      </c>
      <c r="AD10" s="89">
        <f>282.75-(40.4*5)-40</f>
        <v>40.75</v>
      </c>
      <c r="AE10" s="126"/>
      <c r="AF10" s="127">
        <v>42771</v>
      </c>
      <c r="AG10" s="126" t="s">
        <v>158</v>
      </c>
      <c r="AH10" s="89">
        <f>45+45</f>
        <v>90</v>
      </c>
    </row>
    <row r="11" spans="2:38" ht="16" thickBot="1" x14ac:dyDescent="0.25">
      <c r="B11" s="18" t="s">
        <v>26</v>
      </c>
      <c r="C11" s="27"/>
      <c r="D11" s="28"/>
      <c r="F11" s="51" t="str">
        <f>'Monthly Breakdown'!A32</f>
        <v>Electricity Bill</v>
      </c>
      <c r="G11" s="3">
        <f>75.01/4</f>
        <v>18.752500000000001</v>
      </c>
      <c r="H11" s="10"/>
      <c r="I11" s="10" t="str">
        <f>'Monthly Breakdown'!A50</f>
        <v>Gas</v>
      </c>
      <c r="J11" s="22">
        <f>N8</f>
        <v>68.900000000000006</v>
      </c>
      <c r="L11" s="59">
        <v>42779</v>
      </c>
      <c r="M11" t="s">
        <v>104</v>
      </c>
      <c r="N11" s="89">
        <f>32.99</f>
        <v>32.99</v>
      </c>
      <c r="P11" s="59">
        <v>42775</v>
      </c>
      <c r="Q11" t="s">
        <v>159</v>
      </c>
      <c r="R11" s="89">
        <v>9.8000000000000007</v>
      </c>
      <c r="T11" s="59">
        <v>42777</v>
      </c>
      <c r="U11" t="s">
        <v>160</v>
      </c>
      <c r="V11" s="89">
        <f>24.9-12</f>
        <v>12.899999999999999</v>
      </c>
      <c r="W11" s="126"/>
      <c r="X11" s="127">
        <v>42770</v>
      </c>
      <c r="Y11" s="126" t="s">
        <v>161</v>
      </c>
      <c r="Z11" s="89">
        <f>17</f>
        <v>17</v>
      </c>
      <c r="AA11" s="126"/>
      <c r="AB11" s="127">
        <v>42781</v>
      </c>
      <c r="AC11" s="126" t="s">
        <v>162</v>
      </c>
      <c r="AD11" s="89">
        <v>11</v>
      </c>
      <c r="AE11" s="126"/>
      <c r="AF11" s="127">
        <v>42773</v>
      </c>
      <c r="AG11" s="126" t="s">
        <v>163</v>
      </c>
      <c r="AH11" s="89">
        <v>64.95</v>
      </c>
    </row>
    <row r="12" spans="2:38" x14ac:dyDescent="0.2">
      <c r="B12" s="29" t="str">
        <f>'Monthly Breakdown'!A14</f>
        <v>Withholding Tax (~15%)</v>
      </c>
      <c r="C12" s="30">
        <v>405.92</v>
      </c>
      <c r="D12" s="30">
        <v>3146.09</v>
      </c>
      <c r="F12" s="51" t="str">
        <f>'Monthly Breakdown'!A33</f>
        <v>Water Bill</v>
      </c>
      <c r="G12" s="3">
        <f>(46.68+65.41)/4</f>
        <v>28.022500000000001</v>
      </c>
      <c r="H12" s="10"/>
      <c r="I12" s="10" t="str">
        <f>'Monthly Breakdown'!A51</f>
        <v>Groceries</v>
      </c>
      <c r="J12" s="22">
        <f>R8</f>
        <v>111.86</v>
      </c>
      <c r="N12" s="89"/>
      <c r="P12" s="59">
        <v>42787</v>
      </c>
      <c r="Q12" t="s">
        <v>104</v>
      </c>
      <c r="R12" s="89">
        <v>64.62</v>
      </c>
      <c r="T12" s="59">
        <v>42779</v>
      </c>
      <c r="U12" t="s">
        <v>146</v>
      </c>
      <c r="V12" s="89">
        <v>6.4</v>
      </c>
      <c r="W12" s="126"/>
      <c r="X12" s="127">
        <v>42776</v>
      </c>
      <c r="Y12" s="126" t="s">
        <v>164</v>
      </c>
      <c r="Z12" s="89">
        <v>13.91</v>
      </c>
      <c r="AA12" s="126"/>
      <c r="AB12" s="127">
        <v>42787</v>
      </c>
      <c r="AC12" s="126" t="s">
        <v>165</v>
      </c>
      <c r="AD12" s="89">
        <v>30</v>
      </c>
      <c r="AE12" s="126"/>
      <c r="AF12" s="127">
        <v>42777</v>
      </c>
      <c r="AG12" s="126" t="s">
        <v>166</v>
      </c>
      <c r="AH12" s="89">
        <f>500-(50*8)</f>
        <v>100</v>
      </c>
    </row>
    <row r="13" spans="2:38" x14ac:dyDescent="0.2">
      <c r="B13" s="29" t="str">
        <f>'Monthly Breakdown'!A15</f>
        <v>Social Security (6.2%)</v>
      </c>
      <c r="C13" s="30">
        <v>167.81</v>
      </c>
      <c r="D13" s="30">
        <v>847.37</v>
      </c>
      <c r="F13" s="51" t="str">
        <f>'Monthly Breakdown'!A34</f>
        <v>Miscellaneous Bill</v>
      </c>
      <c r="G13" s="3">
        <f>16.53+14.3</f>
        <v>30.830000000000002</v>
      </c>
      <c r="H13" s="10"/>
      <c r="I13" s="10" t="str">
        <f>'Monthly Breakdown'!A52</f>
        <v>Eating Out</v>
      </c>
      <c r="J13" s="22">
        <f>V8</f>
        <v>295.15000000000003</v>
      </c>
      <c r="R13" s="89"/>
      <c r="T13" s="59">
        <v>42779</v>
      </c>
      <c r="U13" t="s">
        <v>167</v>
      </c>
      <c r="V13" s="89">
        <f>32.48</f>
        <v>32.479999999999997</v>
      </c>
      <c r="W13" s="126"/>
      <c r="X13" s="127">
        <v>42778</v>
      </c>
      <c r="Y13" s="126" t="s">
        <v>168</v>
      </c>
      <c r="Z13" s="89">
        <v>18</v>
      </c>
      <c r="AA13" s="126"/>
      <c r="AB13" s="127">
        <v>42787</v>
      </c>
      <c r="AC13" s="126" t="s">
        <v>169</v>
      </c>
      <c r="AD13" s="89">
        <v>9.08</v>
      </c>
      <c r="AE13" s="126"/>
      <c r="AF13" s="127">
        <v>42780</v>
      </c>
      <c r="AG13" s="126" t="s">
        <v>170</v>
      </c>
      <c r="AH13" s="89">
        <f>20.11</f>
        <v>20.11</v>
      </c>
    </row>
    <row r="14" spans="2:38" x14ac:dyDescent="0.2">
      <c r="B14" s="29" t="str">
        <f>'Monthly Breakdown'!A16</f>
        <v>Medicare (1.45%)</v>
      </c>
      <c r="C14" s="30">
        <v>39.24</v>
      </c>
      <c r="D14" s="30">
        <v>198.18</v>
      </c>
      <c r="F14" s="51" t="str">
        <f>'Monthly Breakdown'!A35</f>
        <v>Cable/Internet Bill</v>
      </c>
      <c r="G14" s="90">
        <v>0</v>
      </c>
      <c r="H14" s="10"/>
      <c r="I14" s="10" t="str">
        <f>'Monthly Breakdown'!A53</f>
        <v>Going Out</v>
      </c>
      <c r="J14" s="22">
        <f>Z8</f>
        <v>231.91</v>
      </c>
      <c r="T14" s="59">
        <v>42781</v>
      </c>
      <c r="U14" t="s">
        <v>171</v>
      </c>
      <c r="V14" s="89">
        <v>12.98</v>
      </c>
      <c r="W14" s="126"/>
      <c r="X14" s="127">
        <v>42781</v>
      </c>
      <c r="Y14" s="126" t="s">
        <v>168</v>
      </c>
      <c r="Z14" s="89">
        <v>12</v>
      </c>
      <c r="AA14" s="126"/>
      <c r="AB14" s="127">
        <v>42791</v>
      </c>
      <c r="AC14" s="126" t="s">
        <v>172</v>
      </c>
      <c r="AD14" s="89">
        <v>46.5</v>
      </c>
      <c r="AE14" s="126"/>
      <c r="AF14" s="127">
        <v>42785</v>
      </c>
      <c r="AG14" s="126" t="s">
        <v>173</v>
      </c>
      <c r="AH14" s="89">
        <f>13</f>
        <v>13</v>
      </c>
    </row>
    <row r="15" spans="2:38" x14ac:dyDescent="0.2">
      <c r="B15" s="31" t="s">
        <v>24</v>
      </c>
      <c r="C15" s="11">
        <f>SUM(C12:C14)</f>
        <v>612.97</v>
      </c>
      <c r="D15" s="32">
        <f>SUM(D12:D14)</f>
        <v>4191.6400000000003</v>
      </c>
      <c r="F15" s="52" t="s">
        <v>39</v>
      </c>
      <c r="G15" s="91">
        <f>SUM(G11:G14)</f>
        <v>77.605000000000004</v>
      </c>
      <c r="H15" s="10"/>
      <c r="I15" s="10" t="str">
        <f>'Monthly Breakdown'!A54</f>
        <v>Miscellaneous Needs</v>
      </c>
      <c r="J15" s="22">
        <f>AD8</f>
        <v>137.32999999999998</v>
      </c>
      <c r="T15" s="59">
        <v>42782</v>
      </c>
      <c r="U15" t="s">
        <v>174</v>
      </c>
      <c r="V15" s="89">
        <v>13</v>
      </c>
      <c r="W15" s="126"/>
      <c r="X15" s="127">
        <v>42782</v>
      </c>
      <c r="Y15" s="126" t="s">
        <v>174</v>
      </c>
      <c r="Z15" s="89">
        <v>17.48</v>
      </c>
      <c r="AA15" s="126"/>
      <c r="AB15" s="127"/>
      <c r="AC15" s="126"/>
      <c r="AD15" s="89"/>
      <c r="AE15" s="126"/>
      <c r="AF15" s="127"/>
      <c r="AG15" s="126"/>
      <c r="AH15" s="89"/>
    </row>
    <row r="16" spans="2:38" ht="16" thickBot="1" x14ac:dyDescent="0.25">
      <c r="B16" s="29" t="s">
        <v>25</v>
      </c>
      <c r="C16" s="13">
        <f>C15/C8</f>
        <v>0.22672111198647743</v>
      </c>
      <c r="D16" s="33">
        <f>D15/D8</f>
        <v>0.30669115333679664</v>
      </c>
      <c r="F16" s="21"/>
      <c r="G16" s="3"/>
      <c r="H16" s="10"/>
      <c r="I16" s="10" t="str">
        <f>'Monthly Breakdown'!A55</f>
        <v>Miscellaneous Desires</v>
      </c>
      <c r="J16" s="22">
        <f>AH8</f>
        <v>268.06</v>
      </c>
      <c r="T16" s="59">
        <v>42782</v>
      </c>
      <c r="U16" t="s">
        <v>125</v>
      </c>
      <c r="V16" s="89">
        <v>2.68</v>
      </c>
      <c r="W16" s="126"/>
      <c r="X16" s="127">
        <v>42783</v>
      </c>
      <c r="Y16" s="126" t="s">
        <v>175</v>
      </c>
      <c r="Z16" s="89">
        <f>11.25+10.95</f>
        <v>22.2</v>
      </c>
      <c r="AA16" s="126"/>
      <c r="AB16" s="127"/>
      <c r="AC16" s="126"/>
      <c r="AD16" s="89"/>
      <c r="AE16" s="126"/>
      <c r="AF16" s="127">
        <v>42790</v>
      </c>
      <c r="AG16" s="126" t="s">
        <v>176</v>
      </c>
      <c r="AH16" s="89">
        <f>-20</f>
        <v>-20</v>
      </c>
    </row>
    <row r="17" spans="2:34" ht="16" thickBot="1" x14ac:dyDescent="0.25">
      <c r="B17" s="29"/>
      <c r="C17" s="13"/>
      <c r="D17" s="34">
        <f>SUM(C15:D15)</f>
        <v>4804.6100000000006</v>
      </c>
      <c r="F17" s="54" t="s">
        <v>46</v>
      </c>
      <c r="G17" s="3"/>
      <c r="H17" s="10"/>
      <c r="I17" s="10" t="str">
        <f>'Monthly Breakdown'!A56</f>
        <v>Acorns</v>
      </c>
      <c r="J17" s="22">
        <f>3.47+0.87+4.49+2.75</f>
        <v>11.58</v>
      </c>
      <c r="R17" s="89"/>
      <c r="T17" s="59">
        <v>42784</v>
      </c>
      <c r="U17" t="s">
        <v>177</v>
      </c>
      <c r="V17" s="89">
        <v>28.37</v>
      </c>
      <c r="W17" s="126"/>
      <c r="X17" s="127">
        <v>42784</v>
      </c>
      <c r="Y17" s="126" t="s">
        <v>178</v>
      </c>
      <c r="Z17" s="89">
        <f>18+16</f>
        <v>34</v>
      </c>
      <c r="AA17" s="126"/>
      <c r="AB17" s="127"/>
      <c r="AC17" s="126"/>
      <c r="AD17" s="89"/>
      <c r="AE17" s="126"/>
      <c r="AF17" s="127"/>
      <c r="AG17" s="126"/>
      <c r="AH17" s="89"/>
    </row>
    <row r="18" spans="2:34" x14ac:dyDescent="0.2">
      <c r="B18" s="35"/>
      <c r="C18" s="36"/>
      <c r="D18" s="37">
        <f>D17/D9</f>
        <v>0.29348424310653093</v>
      </c>
      <c r="F18" s="21" t="str">
        <f>'Monthly Breakdown'!A39</f>
        <v>Car Payment</v>
      </c>
      <c r="G18" s="3">
        <v>497.3</v>
      </c>
      <c r="H18" s="10"/>
      <c r="I18" s="10" t="str">
        <f>'Monthly Breakdown'!A57</f>
        <v>Travel/Vacation</v>
      </c>
      <c r="J18" s="22">
        <f>J33</f>
        <v>281.2</v>
      </c>
      <c r="T18" s="59">
        <v>42785</v>
      </c>
      <c r="U18" t="s">
        <v>179</v>
      </c>
      <c r="V18" s="89">
        <v>24.73</v>
      </c>
      <c r="W18" s="126"/>
      <c r="X18" s="59">
        <v>42790</v>
      </c>
      <c r="Y18" s="126" t="s">
        <v>180</v>
      </c>
      <c r="Z18" s="9">
        <v>16</v>
      </c>
      <c r="AA18" s="126"/>
      <c r="AB18" s="127"/>
      <c r="AC18" s="126"/>
      <c r="AD18" s="89"/>
      <c r="AE18" s="126"/>
      <c r="AF18" s="127"/>
      <c r="AG18" s="126"/>
      <c r="AH18" s="89"/>
    </row>
    <row r="19" spans="2:34" x14ac:dyDescent="0.2">
      <c r="F19" s="21" t="str">
        <f>'Monthly Breakdown'!A40</f>
        <v>Auto Insurance</v>
      </c>
      <c r="G19" s="3">
        <v>320</v>
      </c>
      <c r="H19" s="10"/>
      <c r="I19" s="44" t="s">
        <v>55</v>
      </c>
      <c r="J19" s="53">
        <f>SUM(J11:J18)</f>
        <v>1405.99</v>
      </c>
      <c r="T19" s="59">
        <v>42785</v>
      </c>
      <c r="U19" t="s">
        <v>181</v>
      </c>
      <c r="V19" s="89">
        <f>109.57</f>
        <v>109.57</v>
      </c>
      <c r="W19" s="126"/>
      <c r="X19" s="127">
        <v>42792</v>
      </c>
      <c r="Y19" s="126" t="s">
        <v>182</v>
      </c>
      <c r="Z19" s="89">
        <f>9-7+16.66</f>
        <v>18.66</v>
      </c>
      <c r="AA19" s="126"/>
      <c r="AB19" s="127"/>
      <c r="AC19" s="126"/>
      <c r="AD19" s="89"/>
      <c r="AE19" s="126"/>
      <c r="AF19" s="127"/>
      <c r="AG19" s="126"/>
      <c r="AH19" s="89"/>
    </row>
    <row r="20" spans="2:34" ht="16" thickBot="1" x14ac:dyDescent="0.25">
      <c r="B20" s="18" t="s">
        <v>27</v>
      </c>
      <c r="C20" s="27"/>
      <c r="D20" s="28"/>
      <c r="F20" s="21" t="str">
        <f>'Monthly Breakdown'!A41</f>
        <v>Cell Phone Bill</v>
      </c>
      <c r="G20" s="3">
        <v>90</v>
      </c>
      <c r="H20" s="10"/>
      <c r="I20" s="10"/>
      <c r="J20" s="22"/>
      <c r="T20" s="59">
        <v>42786</v>
      </c>
      <c r="U20" t="s">
        <v>183</v>
      </c>
      <c r="V20" s="89">
        <f>7.92</f>
        <v>7.92</v>
      </c>
      <c r="W20" s="126"/>
      <c r="X20" s="127">
        <v>42792</v>
      </c>
      <c r="Y20" s="126" t="s">
        <v>184</v>
      </c>
      <c r="Z20" s="89">
        <f>10</f>
        <v>10</v>
      </c>
      <c r="AA20" s="126"/>
      <c r="AB20" s="127"/>
      <c r="AC20" s="126"/>
      <c r="AD20" s="89"/>
      <c r="AE20" s="126"/>
      <c r="AF20" s="127"/>
      <c r="AG20" s="126"/>
      <c r="AH20" s="89"/>
    </row>
    <row r="21" spans="2:34" ht="16" thickBot="1" x14ac:dyDescent="0.25">
      <c r="B21" s="29" t="str">
        <f>'Monthly Breakdown'!A20</f>
        <v>Roth RSP Savings (10%)</v>
      </c>
      <c r="C21" s="22">
        <f>C6*'Monthly Breakdown'!$B$4</f>
        <v>270.363</v>
      </c>
      <c r="D21" s="22">
        <f>D6*'Monthly Breakdown'!$B$4</f>
        <v>270.363</v>
      </c>
      <c r="F21" s="21" t="str">
        <f>'Monthly Breakdown'!A42</f>
        <v>Savings</v>
      </c>
      <c r="G21" s="3">
        <v>160</v>
      </c>
      <c r="H21" s="10"/>
      <c r="I21" s="45" t="s">
        <v>56</v>
      </c>
      <c r="J21" s="93">
        <f>SUM(G26,J19)</f>
        <v>3310.395</v>
      </c>
      <c r="T21" s="59">
        <v>42791</v>
      </c>
      <c r="U21" t="s">
        <v>185</v>
      </c>
      <c r="V21" s="89">
        <v>6.22</v>
      </c>
      <c r="W21" s="126"/>
      <c r="X21" s="127">
        <v>42792</v>
      </c>
      <c r="Y21" s="126" t="s">
        <v>115</v>
      </c>
      <c r="Z21" s="89">
        <f>37.5</f>
        <v>37.5</v>
      </c>
      <c r="AA21" s="126"/>
      <c r="AB21" s="127"/>
      <c r="AC21" s="126"/>
      <c r="AD21" s="89"/>
      <c r="AE21" s="126"/>
      <c r="AF21" s="127"/>
      <c r="AG21" s="126"/>
      <c r="AH21" s="89"/>
    </row>
    <row r="22" spans="2:34" x14ac:dyDescent="0.2">
      <c r="B22" s="29" t="str">
        <f>'Monthly Breakdown'!A21</f>
        <v>Pre-Tax RSP Savings (4%)</v>
      </c>
      <c r="C22" s="22">
        <f>C6*'Monthly Breakdown'!$B$5</f>
        <v>108.1452</v>
      </c>
      <c r="D22" s="22">
        <f>D6*'Monthly Breakdown'!$B$5</f>
        <v>108.1452</v>
      </c>
      <c r="F22" s="21" t="str">
        <f>'Monthly Breakdown'!A43</f>
        <v>Gym Membership</v>
      </c>
      <c r="G22" s="90">
        <f>43.29</f>
        <v>43.29</v>
      </c>
      <c r="H22" s="10"/>
      <c r="I22" s="10"/>
      <c r="J22" s="49"/>
      <c r="T22" s="59">
        <v>42792</v>
      </c>
      <c r="U22" t="s">
        <v>186</v>
      </c>
      <c r="V22" s="89">
        <f>19.24</f>
        <v>19.239999999999998</v>
      </c>
      <c r="W22" s="126"/>
      <c r="X22" s="127"/>
      <c r="Y22" s="126"/>
      <c r="Z22" s="89"/>
      <c r="AA22" s="126"/>
      <c r="AB22" s="127"/>
      <c r="AC22" s="126"/>
      <c r="AD22" s="89"/>
      <c r="AE22" s="126"/>
      <c r="AF22" s="127"/>
      <c r="AG22" s="126"/>
      <c r="AH22" s="89"/>
    </row>
    <row r="23" spans="2:34" x14ac:dyDescent="0.2">
      <c r="B23" s="31" t="s">
        <v>28</v>
      </c>
      <c r="C23" s="12">
        <f>SUM(C21:C22)</f>
        <v>378.50819999999999</v>
      </c>
      <c r="D23" s="38">
        <f>SUM(D21:D22)</f>
        <v>378.50819999999999</v>
      </c>
      <c r="F23" s="21" t="str">
        <f>'Monthly Breakdown'!A44</f>
        <v>Spotify Membership</v>
      </c>
      <c r="G23" s="3">
        <v>5.4</v>
      </c>
      <c r="H23" s="10"/>
      <c r="I23" s="10"/>
      <c r="J23" s="49"/>
      <c r="T23" s="59">
        <v>42793</v>
      </c>
      <c r="U23" t="s">
        <v>125</v>
      </c>
      <c r="V23" s="89">
        <f>12.21</f>
        <v>12.21</v>
      </c>
      <c r="W23" s="126"/>
      <c r="X23" s="127"/>
      <c r="Y23" s="126"/>
      <c r="Z23" s="89"/>
      <c r="AA23" s="126"/>
      <c r="AB23" s="127"/>
      <c r="AC23" s="126"/>
      <c r="AD23" s="89"/>
      <c r="AE23" s="126"/>
      <c r="AF23" s="127"/>
      <c r="AG23" s="126"/>
      <c r="AH23" s="89"/>
    </row>
    <row r="24" spans="2:34" ht="16" thickBot="1" x14ac:dyDescent="0.25">
      <c r="B24" s="21"/>
      <c r="C24" s="39">
        <f>C23/C6</f>
        <v>0.13999999999999999</v>
      </c>
      <c r="D24" s="40">
        <f>D23/D6</f>
        <v>0.13999999999999999</v>
      </c>
      <c r="F24" s="21" t="str">
        <f>'Monthly Breakdown'!A45</f>
        <v>Netflix</v>
      </c>
      <c r="G24" s="90">
        <f>10.81</f>
        <v>10.81</v>
      </c>
      <c r="H24" s="10"/>
      <c r="I24" s="10"/>
      <c r="J24" s="49"/>
      <c r="V24" s="89"/>
      <c r="W24" s="126"/>
      <c r="X24" s="127"/>
      <c r="Y24" s="126"/>
      <c r="Z24" s="89"/>
      <c r="AA24" s="126"/>
      <c r="AB24" s="127"/>
      <c r="AC24" s="126"/>
      <c r="AD24" s="89"/>
      <c r="AE24" s="126"/>
      <c r="AF24" s="127"/>
      <c r="AG24" s="126"/>
      <c r="AH24" s="89"/>
    </row>
    <row r="25" spans="2:34" ht="16" thickBot="1" x14ac:dyDescent="0.25">
      <c r="B25" s="21"/>
      <c r="C25" s="10"/>
      <c r="D25" s="41">
        <f>SUM(C23:D23)</f>
        <v>757.01639999999998</v>
      </c>
      <c r="F25" s="55" t="s">
        <v>48</v>
      </c>
      <c r="G25" s="43">
        <f>SUM(G18:G24)</f>
        <v>1126.8</v>
      </c>
      <c r="H25" s="10"/>
      <c r="I25" s="10"/>
      <c r="J25" s="49"/>
      <c r="V25" s="89"/>
      <c r="W25" s="126"/>
      <c r="X25" s="127"/>
      <c r="Y25" s="126"/>
      <c r="Z25" s="89"/>
      <c r="AA25" s="126"/>
      <c r="AB25" s="127"/>
      <c r="AC25" s="126"/>
      <c r="AD25" s="89"/>
      <c r="AE25" s="126"/>
      <c r="AF25" s="127"/>
      <c r="AG25" s="126"/>
      <c r="AH25" s="89"/>
    </row>
    <row r="26" spans="2:34" x14ac:dyDescent="0.2">
      <c r="B26" s="25"/>
      <c r="C26" s="8"/>
      <c r="D26" s="42">
        <f>D25/SUM(C6:D6)</f>
        <v>0.13999999999999999</v>
      </c>
      <c r="F26" s="94" t="s">
        <v>47</v>
      </c>
      <c r="G26" s="95">
        <f>SUM(G8,G15,G25)</f>
        <v>1904.405</v>
      </c>
      <c r="H26" s="8"/>
      <c r="I26" s="8"/>
      <c r="J26" s="56"/>
      <c r="P26" s="127"/>
      <c r="V26" s="89"/>
      <c r="W26" s="126"/>
      <c r="X26" s="127"/>
      <c r="Y26" s="126"/>
      <c r="Z26" s="89"/>
      <c r="AA26" s="126"/>
      <c r="AB26" s="127"/>
      <c r="AC26" s="126"/>
      <c r="AD26" s="89"/>
      <c r="AE26" s="126"/>
      <c r="AF26" s="127"/>
      <c r="AG26" s="126"/>
      <c r="AH26" s="89"/>
    </row>
    <row r="27" spans="2:34" ht="16" thickBot="1" x14ac:dyDescent="0.25">
      <c r="V27" s="89"/>
      <c r="W27" s="126"/>
      <c r="X27" s="127"/>
      <c r="Y27" s="126"/>
      <c r="Z27" s="89"/>
      <c r="AA27" s="126"/>
      <c r="AB27" s="127"/>
      <c r="AC27" s="126"/>
      <c r="AD27" s="89"/>
      <c r="AE27" s="126"/>
      <c r="AF27" s="127"/>
      <c r="AG27" s="126"/>
      <c r="AH27" s="89"/>
    </row>
    <row r="28" spans="2:34" ht="16" thickBot="1" x14ac:dyDescent="0.25">
      <c r="B28" s="14" t="s">
        <v>29</v>
      </c>
      <c r="C28" s="15">
        <f>C8-C15-C23</f>
        <v>1712.1517999999999</v>
      </c>
      <c r="D28" s="16">
        <f>D8-D15-D23</f>
        <v>9097.1517999999996</v>
      </c>
      <c r="I28" s="14" t="s">
        <v>57</v>
      </c>
      <c r="J28" s="57">
        <f>G5-J21</f>
        <v>26975.640699999996</v>
      </c>
      <c r="V28" s="89"/>
      <c r="W28" s="126"/>
      <c r="X28" s="127"/>
      <c r="Y28" s="126"/>
      <c r="Z28" s="89"/>
      <c r="AA28" s="126"/>
      <c r="AB28" s="127"/>
      <c r="AC28" s="126"/>
      <c r="AD28" s="89"/>
      <c r="AE28" s="126"/>
      <c r="AF28" s="127"/>
      <c r="AG28" s="126"/>
      <c r="AH28" s="89"/>
    </row>
    <row r="29" spans="2:34" ht="16" thickBot="1" x14ac:dyDescent="0.25">
      <c r="D29" s="17">
        <f>SUM(C28:D28)</f>
        <v>10809.303599999999</v>
      </c>
    </row>
    <row r="30" spans="2:34" x14ac:dyDescent="0.2">
      <c r="I30" t="s">
        <v>77</v>
      </c>
      <c r="J30" s="9">
        <f>J28-G2</f>
        <v>7498.8885999999984</v>
      </c>
    </row>
    <row r="32" spans="2:34" ht="16" thickBot="1" x14ac:dyDescent="0.25">
      <c r="I32" s="115" t="str">
        <f>I18</f>
        <v>Travel/Vacation</v>
      </c>
      <c r="J32" s="116"/>
    </row>
    <row r="33" spans="4:10" x14ac:dyDescent="0.2">
      <c r="I33" s="120" t="s">
        <v>63</v>
      </c>
      <c r="J33" s="117">
        <f>SUM(J35:J38)</f>
        <v>281.2</v>
      </c>
    </row>
    <row r="34" spans="4:10" x14ac:dyDescent="0.2">
      <c r="D34" s="9"/>
      <c r="I34" s="25" t="s">
        <v>61</v>
      </c>
      <c r="J34" s="118" t="s">
        <v>62</v>
      </c>
    </row>
    <row r="35" spans="4:10" x14ac:dyDescent="0.2">
      <c r="I35" s="21" t="s">
        <v>150</v>
      </c>
      <c r="J35" s="30">
        <v>6</v>
      </c>
    </row>
    <row r="36" spans="4:10" x14ac:dyDescent="0.2">
      <c r="I36" s="21" t="s">
        <v>151</v>
      </c>
      <c r="J36" s="124">
        <f>8+1</f>
        <v>9</v>
      </c>
    </row>
    <row r="37" spans="4:10" x14ac:dyDescent="0.2">
      <c r="I37" s="21" t="s">
        <v>152</v>
      </c>
      <c r="J37" s="122">
        <v>200.2</v>
      </c>
    </row>
    <row r="38" spans="4:10" x14ac:dyDescent="0.2">
      <c r="I38" s="25" t="s">
        <v>153</v>
      </c>
      <c r="J38" s="125">
        <v>66</v>
      </c>
    </row>
  </sheetData>
  <mergeCells count="22">
    <mergeCell ref="AJ4:AK4"/>
    <mergeCell ref="AJ7:AK7"/>
    <mergeCell ref="AJ8:AK8"/>
    <mergeCell ref="L6:M6"/>
    <mergeCell ref="L7:M7"/>
    <mergeCell ref="P7:Q7"/>
    <mergeCell ref="T7:U7"/>
    <mergeCell ref="X7:Y7"/>
    <mergeCell ref="L8:M8"/>
    <mergeCell ref="AF7:AG7"/>
    <mergeCell ref="AF8:AG8"/>
    <mergeCell ref="AB8:AC8"/>
    <mergeCell ref="X8:Y8"/>
    <mergeCell ref="T8:U8"/>
    <mergeCell ref="P8:Q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M25" sqref="M25"/>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64</v>
      </c>
      <c r="F2" t="s">
        <v>30</v>
      </c>
      <c r="G2" s="2">
        <f>Feb!J28</f>
        <v>26975.640699999996</v>
      </c>
      <c r="I2" s="9"/>
    </row>
    <row r="3" spans="2:38" x14ac:dyDescent="0.2">
      <c r="B3" s="10" t="s">
        <v>23</v>
      </c>
      <c r="C3" s="9">
        <f>C6*24</f>
        <v>64887.12</v>
      </c>
      <c r="F3" s="111" t="s">
        <v>29</v>
      </c>
      <c r="G3" s="4">
        <f>D29</f>
        <v>1712.1018000000001</v>
      </c>
    </row>
    <row r="4" spans="2:38" x14ac:dyDescent="0.2">
      <c r="F4" t="s">
        <v>31</v>
      </c>
      <c r="G4" s="2">
        <v>0</v>
      </c>
      <c r="I4" t="s">
        <v>81</v>
      </c>
      <c r="J4" s="9">
        <f>SUM(N4,R4,V4,Z4,AD4,AH4)</f>
        <v>402.84000000000003</v>
      </c>
      <c r="L4" s="131" t="str">
        <f>CONCATENATE(L7," Budget")</f>
        <v>Gas Budget</v>
      </c>
      <c r="M4" s="131"/>
      <c r="N4" s="9">
        <f>-N8+'Monthly Breakdown'!Q50</f>
        <v>40.659999999999997</v>
      </c>
      <c r="P4" s="131" t="str">
        <f>CONCATENATE(P7," Budget")</f>
        <v>Groceries Budget</v>
      </c>
      <c r="Q4" s="131"/>
      <c r="R4" s="9">
        <f>-R8+'Monthly Breakdown'!Q51</f>
        <v>19.329999999999998</v>
      </c>
      <c r="T4" s="131" t="str">
        <f>CONCATENATE(T7," Budget")</f>
        <v>Eating Out Budget</v>
      </c>
      <c r="U4" s="131"/>
      <c r="V4" s="9">
        <f>-V8+'Monthly Breakdown'!Q52</f>
        <v>172.87</v>
      </c>
      <c r="X4" s="131" t="str">
        <f>CONCATENATE(X7," Budget")</f>
        <v>Going Out Budget</v>
      </c>
      <c r="Y4" s="131"/>
      <c r="Z4" s="9">
        <f>-Z8+'Monthly Breakdown'!Q53</f>
        <v>76.02</v>
      </c>
      <c r="AB4" s="131" t="str">
        <f>CONCATENATE(AB7," Budget")</f>
        <v>Miscellaneous Needs Budget</v>
      </c>
      <c r="AC4" s="131"/>
      <c r="AD4" s="9">
        <f>-AD8+'Monthly Breakdown'!Q54</f>
        <v>-176.02999999999997</v>
      </c>
      <c r="AF4" s="131" t="str">
        <f>CONCATENATE(AF7," Budget")</f>
        <v>Miscellaneous Desires Budget</v>
      </c>
      <c r="AG4" s="131"/>
      <c r="AH4" s="9">
        <f>-AH8+'Monthly Breakdown'!Q55</f>
        <v>269.99</v>
      </c>
      <c r="AJ4" s="131"/>
      <c r="AK4" s="131"/>
      <c r="AL4" s="9"/>
    </row>
    <row r="5" spans="2:38" ht="16" thickBot="1" x14ac:dyDescent="0.25">
      <c r="B5" s="18" t="s">
        <v>15</v>
      </c>
      <c r="C5" s="19" t="s">
        <v>17</v>
      </c>
      <c r="D5" s="20" t="s">
        <v>18</v>
      </c>
      <c r="F5" s="111" t="s">
        <v>32</v>
      </c>
      <c r="G5" s="4">
        <f>SUM(G2:G4)</f>
        <v>28687.742499999997</v>
      </c>
      <c r="AJ5" s="59"/>
      <c r="AL5" s="9"/>
    </row>
    <row r="6" spans="2:38" ht="16" thickBot="1" x14ac:dyDescent="0.25">
      <c r="B6" s="21" t="s">
        <v>19</v>
      </c>
      <c r="C6" s="90">
        <v>2703.63</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2703.63</v>
      </c>
      <c r="D8" s="24">
        <f>D6+D7</f>
        <v>0</v>
      </c>
      <c r="F8" s="48" t="str">
        <f>'Monthly Breakdown'!A29</f>
        <v>Living</v>
      </c>
      <c r="G8" s="91">
        <v>700</v>
      </c>
      <c r="H8" s="10"/>
      <c r="I8" s="10"/>
      <c r="J8" s="49"/>
      <c r="L8" s="137" t="s">
        <v>63</v>
      </c>
      <c r="M8" s="137"/>
      <c r="N8" s="60">
        <f>SUM(N10:N50)</f>
        <v>109.34</v>
      </c>
      <c r="P8" s="137" t="s">
        <v>63</v>
      </c>
      <c r="Q8" s="137"/>
      <c r="R8" s="60">
        <f>SUM(R10:R50)</f>
        <v>80.67</v>
      </c>
      <c r="T8" s="137" t="s">
        <v>63</v>
      </c>
      <c r="U8" s="137"/>
      <c r="V8" s="60">
        <f>SUM(V10:V50)</f>
        <v>77.13</v>
      </c>
      <c r="X8" s="137" t="s">
        <v>63</v>
      </c>
      <c r="Y8" s="137"/>
      <c r="Z8" s="60">
        <f>SUM(Z10:Z50)</f>
        <v>73.98</v>
      </c>
      <c r="AB8" s="137" t="s">
        <v>63</v>
      </c>
      <c r="AC8" s="137"/>
      <c r="AD8" s="60">
        <f>SUM(AD10:AD50)</f>
        <v>276.02999999999997</v>
      </c>
      <c r="AF8" s="137" t="s">
        <v>63</v>
      </c>
      <c r="AG8" s="137"/>
      <c r="AH8" s="60">
        <f>SUM(AH10:AH50)</f>
        <v>30.01</v>
      </c>
      <c r="AI8" s="10"/>
      <c r="AJ8" s="133"/>
      <c r="AK8" s="133"/>
      <c r="AL8" s="113"/>
    </row>
    <row r="9" spans="2:38" x14ac:dyDescent="0.2">
      <c r="B9" s="25"/>
      <c r="C9" s="8"/>
      <c r="D9" s="26">
        <f>SUM(C8:D8)</f>
        <v>2703.63</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L10" s="59">
        <v>42796</v>
      </c>
      <c r="M10" t="s">
        <v>104</v>
      </c>
      <c r="N10" s="89">
        <v>33.93</v>
      </c>
      <c r="P10" s="59">
        <v>42803</v>
      </c>
      <c r="Q10" t="s">
        <v>104</v>
      </c>
      <c r="R10" s="9">
        <v>30.84</v>
      </c>
      <c r="T10" s="59">
        <v>42798</v>
      </c>
      <c r="U10" t="s">
        <v>191</v>
      </c>
      <c r="V10" s="89">
        <v>19.78</v>
      </c>
      <c r="X10" s="59">
        <v>42798</v>
      </c>
      <c r="Y10" t="s">
        <v>190</v>
      </c>
      <c r="Z10" s="89">
        <v>20.56</v>
      </c>
      <c r="AB10" s="59">
        <v>42795</v>
      </c>
      <c r="AC10" t="s">
        <v>189</v>
      </c>
      <c r="AD10" s="9">
        <v>16.23</v>
      </c>
      <c r="AF10" s="59">
        <v>42799</v>
      </c>
      <c r="AG10" t="s">
        <v>192</v>
      </c>
      <c r="AH10" s="89">
        <f>19.2+9.19</f>
        <v>28.39</v>
      </c>
    </row>
    <row r="11" spans="2:38" ht="16" thickBot="1" x14ac:dyDescent="0.25">
      <c r="B11" s="18" t="s">
        <v>26</v>
      </c>
      <c r="C11" s="27"/>
      <c r="D11" s="28"/>
      <c r="F11" s="51" t="str">
        <f>'Monthly Breakdown'!A32</f>
        <v>Electricity Bill</v>
      </c>
      <c r="G11" s="3">
        <f>66.23/4</f>
        <v>16.557500000000001</v>
      </c>
      <c r="H11" s="10"/>
      <c r="I11" s="10" t="str">
        <f>'Monthly Breakdown'!A50</f>
        <v>Gas</v>
      </c>
      <c r="J11" s="22">
        <f>N8</f>
        <v>109.34</v>
      </c>
      <c r="L11" s="59">
        <v>42800</v>
      </c>
      <c r="M11" t="s">
        <v>188</v>
      </c>
      <c r="N11" s="89">
        <f>38.79</f>
        <v>38.79</v>
      </c>
      <c r="P11" s="59">
        <v>42807</v>
      </c>
      <c r="Q11" t="s">
        <v>104</v>
      </c>
      <c r="R11" s="89">
        <v>49.83</v>
      </c>
      <c r="T11" s="59">
        <v>42799</v>
      </c>
      <c r="U11" t="s">
        <v>146</v>
      </c>
      <c r="V11" s="89">
        <v>6.12</v>
      </c>
      <c r="X11" s="59">
        <v>42798</v>
      </c>
      <c r="Y11" t="s">
        <v>184</v>
      </c>
      <c r="Z11" s="89">
        <v>16</v>
      </c>
      <c r="AB11" s="59">
        <v>42796</v>
      </c>
      <c r="AC11" t="s">
        <v>187</v>
      </c>
      <c r="AD11" s="89">
        <v>57.91</v>
      </c>
      <c r="AF11" s="59">
        <v>42801</v>
      </c>
      <c r="AG11" t="s">
        <v>194</v>
      </c>
      <c r="AH11" s="89">
        <f>1.62</f>
        <v>1.62</v>
      </c>
    </row>
    <row r="12" spans="2:38" x14ac:dyDescent="0.2">
      <c r="B12" s="29" t="str">
        <f>'Monthly Breakdown'!A14</f>
        <v>Withholding Tax (~15%)</v>
      </c>
      <c r="C12" s="30">
        <v>405.95</v>
      </c>
      <c r="D12" s="30">
        <f>0.15*D8</f>
        <v>0</v>
      </c>
      <c r="F12" s="51" t="str">
        <f>'Monthly Breakdown'!A33</f>
        <v>Water Bill</v>
      </c>
      <c r="G12" s="3">
        <f>+(33.11+51.95)/4</f>
        <v>21.265000000000001</v>
      </c>
      <c r="H12" s="10"/>
      <c r="I12" s="10" t="str">
        <f>'Monthly Breakdown'!A51</f>
        <v>Groceries</v>
      </c>
      <c r="J12" s="22">
        <f>R8</f>
        <v>80.67</v>
      </c>
      <c r="L12" s="59">
        <v>42802</v>
      </c>
      <c r="M12" t="s">
        <v>154</v>
      </c>
      <c r="N12" s="89">
        <f>36.62</f>
        <v>36.619999999999997</v>
      </c>
      <c r="R12" s="89"/>
      <c r="T12" s="59">
        <v>42800</v>
      </c>
      <c r="U12" t="s">
        <v>193</v>
      </c>
      <c r="V12" s="9">
        <v>24.52</v>
      </c>
      <c r="X12" s="59">
        <v>42799</v>
      </c>
      <c r="Y12" t="s">
        <v>104</v>
      </c>
      <c r="Z12" s="89">
        <f>13.93</f>
        <v>13.93</v>
      </c>
      <c r="AB12" s="59">
        <v>42803</v>
      </c>
      <c r="AC12" t="s">
        <v>196</v>
      </c>
      <c r="AD12" s="89">
        <f>201.89</f>
        <v>201.89</v>
      </c>
      <c r="AH12" s="89"/>
    </row>
    <row r="13" spans="2:38" x14ac:dyDescent="0.2">
      <c r="B13" s="29" t="str">
        <f>'Monthly Breakdown'!A15</f>
        <v>Social Security (6.2%)</v>
      </c>
      <c r="C13" s="30">
        <v>167.82</v>
      </c>
      <c r="D13" s="30">
        <f>0.062*D8</f>
        <v>0</v>
      </c>
      <c r="F13" s="51" t="str">
        <f>'Monthly Breakdown'!A34</f>
        <v>Miscellaneous Bill</v>
      </c>
      <c r="G13" s="3">
        <v>16.53</v>
      </c>
      <c r="H13" s="10"/>
      <c r="I13" s="10" t="str">
        <f>'Monthly Breakdown'!A52</f>
        <v>Eating Out</v>
      </c>
      <c r="J13" s="22">
        <f>V8</f>
        <v>77.13</v>
      </c>
      <c r="L13" s="59">
        <v>42807</v>
      </c>
      <c r="M13" t="s">
        <v>198</v>
      </c>
      <c r="N13" s="89">
        <f>41.1-41.1</f>
        <v>0</v>
      </c>
      <c r="R13" s="89"/>
      <c r="T13" s="59">
        <v>42802</v>
      </c>
      <c r="U13" t="s">
        <v>195</v>
      </c>
      <c r="V13" s="89">
        <f>13.4</f>
        <v>13.4</v>
      </c>
      <c r="X13" s="59">
        <v>42804</v>
      </c>
      <c r="Y13" t="s">
        <v>191</v>
      </c>
      <c r="Z13" s="89">
        <f>23.49</f>
        <v>23.49</v>
      </c>
      <c r="AB13" s="59">
        <v>42808</v>
      </c>
      <c r="AC13" t="s">
        <v>199</v>
      </c>
      <c r="AD13" s="128">
        <f>3-3</f>
        <v>0</v>
      </c>
      <c r="AH13" s="89"/>
    </row>
    <row r="14" spans="2:38" x14ac:dyDescent="0.2">
      <c r="B14" s="29" t="str">
        <f>'Monthly Breakdown'!A16</f>
        <v>Medicare (1.45%)</v>
      </c>
      <c r="C14" s="30">
        <v>39.25</v>
      </c>
      <c r="D14" s="30">
        <f>0.0145*D8</f>
        <v>0</v>
      </c>
      <c r="F14" s="51" t="str">
        <f>'Monthly Breakdown'!A35</f>
        <v>Cable/Internet Bill</v>
      </c>
      <c r="G14" s="90">
        <v>0</v>
      </c>
      <c r="H14" s="10"/>
      <c r="I14" s="10" t="str">
        <f>'Monthly Breakdown'!A53</f>
        <v>Going Out</v>
      </c>
      <c r="J14" s="22">
        <f>Z8</f>
        <v>73.98</v>
      </c>
      <c r="T14" s="59">
        <v>42805</v>
      </c>
      <c r="U14" t="s">
        <v>197</v>
      </c>
      <c r="V14" s="89">
        <f>13.31</f>
        <v>13.31</v>
      </c>
      <c r="Z14" s="89"/>
      <c r="AH14" s="89"/>
    </row>
    <row r="15" spans="2:38" x14ac:dyDescent="0.2">
      <c r="B15" s="31" t="s">
        <v>24</v>
      </c>
      <c r="C15" s="11">
        <f>SUM(C12:C14)</f>
        <v>613.02</v>
      </c>
      <c r="D15" s="32">
        <f>SUM(D12:D14)</f>
        <v>0</v>
      </c>
      <c r="F15" s="52" t="s">
        <v>39</v>
      </c>
      <c r="G15" s="91">
        <f>SUM(G11:G14)</f>
        <v>54.352500000000006</v>
      </c>
      <c r="H15" s="10"/>
      <c r="I15" s="10" t="str">
        <f>'Monthly Breakdown'!A54</f>
        <v>Miscellaneous Needs</v>
      </c>
      <c r="J15" s="22">
        <f>AD8</f>
        <v>276.02999999999997</v>
      </c>
      <c r="T15" s="59">
        <v>42807</v>
      </c>
      <c r="U15" t="s">
        <v>125</v>
      </c>
      <c r="V15" s="128">
        <f>8.21-8.21</f>
        <v>0</v>
      </c>
      <c r="Z15" s="89"/>
    </row>
    <row r="16" spans="2:38" ht="16" thickBot="1" x14ac:dyDescent="0.25">
      <c r="B16" s="29" t="s">
        <v>25</v>
      </c>
      <c r="C16" s="13">
        <f>C15/C8</f>
        <v>0.22673960564130446</v>
      </c>
      <c r="D16" s="33" t="e">
        <f>D15/D8</f>
        <v>#DIV/0!</v>
      </c>
      <c r="F16" s="21"/>
      <c r="G16" s="3"/>
      <c r="H16" s="10"/>
      <c r="I16" s="10" t="str">
        <f>'Monthly Breakdown'!A55</f>
        <v>Miscellaneous Desires</v>
      </c>
      <c r="J16" s="22">
        <f>AH8</f>
        <v>30.01</v>
      </c>
      <c r="V16" s="89"/>
    </row>
    <row r="17" spans="2:26" ht="16" thickBot="1" x14ac:dyDescent="0.25">
      <c r="B17" s="29"/>
      <c r="C17" s="13"/>
      <c r="D17" s="34">
        <f>SUM(C15:D15)</f>
        <v>613.02</v>
      </c>
      <c r="F17" s="54" t="s">
        <v>46</v>
      </c>
      <c r="G17" s="3"/>
      <c r="H17" s="10"/>
      <c r="I17" s="10" t="str">
        <f>'Monthly Breakdown'!A56</f>
        <v>Acorns</v>
      </c>
      <c r="J17" s="22">
        <f>1.57+4.12+1.75</f>
        <v>7.44</v>
      </c>
      <c r="R17" s="89"/>
    </row>
    <row r="18" spans="2:26" x14ac:dyDescent="0.2">
      <c r="B18" s="35"/>
      <c r="C18" s="36"/>
      <c r="D18" s="37">
        <f>D17/D9</f>
        <v>0.22673960564130446</v>
      </c>
      <c r="F18" s="21" t="str">
        <f>'Monthly Breakdown'!A39</f>
        <v>Car Payment</v>
      </c>
      <c r="G18" s="3">
        <v>497.3</v>
      </c>
      <c r="H18" s="10"/>
      <c r="I18" s="10" t="str">
        <f>'Monthly Breakdown'!A57</f>
        <v>Travel/Vacation</v>
      </c>
      <c r="J18" s="122">
        <f>J33</f>
        <v>0</v>
      </c>
      <c r="Z18" s="89"/>
    </row>
    <row r="19" spans="2:26" x14ac:dyDescent="0.2">
      <c r="F19" s="21" t="str">
        <f>'Monthly Breakdown'!A40</f>
        <v>Auto Insurance</v>
      </c>
      <c r="G19" s="3">
        <v>320</v>
      </c>
      <c r="H19" s="10"/>
      <c r="I19" s="44" t="s">
        <v>55</v>
      </c>
      <c r="J19" s="53">
        <f>SUM(J11:J18)</f>
        <v>654.6</v>
      </c>
    </row>
    <row r="20" spans="2:26" ht="16" thickBot="1" x14ac:dyDescent="0.25">
      <c r="B20" s="18" t="s">
        <v>27</v>
      </c>
      <c r="C20" s="27"/>
      <c r="D20" s="28"/>
      <c r="F20" s="21" t="str">
        <f>'Monthly Breakdown'!A41</f>
        <v>Cell Phone Bill</v>
      </c>
      <c r="G20" s="3">
        <v>90</v>
      </c>
      <c r="H20" s="10"/>
      <c r="I20" s="10"/>
      <c r="J20" s="22"/>
    </row>
    <row r="21" spans="2:26" ht="16" thickBot="1" x14ac:dyDescent="0.25">
      <c r="B21" s="29" t="str">
        <f>'Monthly Breakdown'!A20</f>
        <v>Roth RSP Savings (10%)</v>
      </c>
      <c r="C21" s="22">
        <f>C6*'Monthly Breakdown'!$B$4</f>
        <v>270.363</v>
      </c>
      <c r="D21" s="22">
        <f>D6*'Monthly Breakdown'!$B$4</f>
        <v>0</v>
      </c>
      <c r="F21" s="21" t="str">
        <f>'Monthly Breakdown'!A42</f>
        <v>Savings</v>
      </c>
      <c r="G21" s="3">
        <v>120</v>
      </c>
      <c r="H21" s="10"/>
      <c r="I21" s="45" t="s">
        <v>56</v>
      </c>
      <c r="J21" s="93">
        <f>SUM(G26,J19)</f>
        <v>2479.5425</v>
      </c>
      <c r="V21" s="89"/>
    </row>
    <row r="22" spans="2:26" x14ac:dyDescent="0.2">
      <c r="B22" s="29" t="str">
        <f>'Monthly Breakdown'!A21</f>
        <v>Pre-Tax RSP Savings (4%)</v>
      </c>
      <c r="C22" s="22">
        <f>C6*'Monthly Breakdown'!$B$5</f>
        <v>108.1452</v>
      </c>
      <c r="D22" s="22">
        <f>D6*'Monthly Breakdown'!$B$5</f>
        <v>0</v>
      </c>
      <c r="F22" s="21" t="str">
        <f>'Monthly Breakdown'!A43</f>
        <v>Gym Membership</v>
      </c>
      <c r="G22" s="3">
        <v>43.29</v>
      </c>
      <c r="H22" s="10"/>
      <c r="I22" s="10"/>
      <c r="J22" s="49"/>
      <c r="V22" s="89"/>
    </row>
    <row r="23" spans="2:26" x14ac:dyDescent="0.2">
      <c r="B23" s="31" t="s">
        <v>28</v>
      </c>
      <c r="C23" s="12">
        <f>SUM(C21:C22)</f>
        <v>378.50819999999999</v>
      </c>
      <c r="D23" s="38">
        <f>SUM(D21:D22)</f>
        <v>0</v>
      </c>
      <c r="F23" s="21" t="str">
        <f>'Monthly Breakdown'!A44</f>
        <v>Spotify Membership</v>
      </c>
      <c r="G23" s="3">
        <v>0</v>
      </c>
      <c r="H23" s="10"/>
      <c r="I23" s="10"/>
      <c r="J23" s="49"/>
      <c r="V23" s="89"/>
    </row>
    <row r="24" spans="2:26" ht="16" thickBot="1" x14ac:dyDescent="0.25">
      <c r="B24" s="21"/>
      <c r="C24" s="39">
        <f>C23/C6</f>
        <v>0.13999999999999999</v>
      </c>
      <c r="D24" s="40" t="e">
        <f>D23/D6</f>
        <v>#DIV/0!</v>
      </c>
      <c r="F24" s="21" t="str">
        <f>'Monthly Breakdown'!A45</f>
        <v>Netflix</v>
      </c>
      <c r="G24" s="129">
        <f>10.81-10.81</f>
        <v>0</v>
      </c>
      <c r="H24" s="10"/>
      <c r="I24" s="10"/>
      <c r="J24" s="49"/>
    </row>
    <row r="25" spans="2:26" ht="16" thickBot="1" x14ac:dyDescent="0.25">
      <c r="B25" s="21"/>
      <c r="C25" s="10"/>
      <c r="D25" s="41">
        <f>SUM(C23:D23)</f>
        <v>378.50819999999999</v>
      </c>
      <c r="F25" s="55" t="s">
        <v>48</v>
      </c>
      <c r="G25" s="43">
        <f>SUM(G18:G24)</f>
        <v>1070.5899999999999</v>
      </c>
      <c r="H25" s="10"/>
      <c r="I25" s="10"/>
      <c r="J25" s="49"/>
    </row>
    <row r="26" spans="2:26" x14ac:dyDescent="0.2">
      <c r="B26" s="25"/>
      <c r="C26" s="8"/>
      <c r="D26" s="42">
        <f>D25/SUM(C6:D6)</f>
        <v>0.13999999999999999</v>
      </c>
      <c r="F26" s="94" t="s">
        <v>47</v>
      </c>
      <c r="G26" s="95">
        <f>SUM(G8,G15,G25)</f>
        <v>1824.9424999999999</v>
      </c>
      <c r="H26" s="8"/>
      <c r="I26" s="8"/>
      <c r="J26" s="56"/>
    </row>
    <row r="27" spans="2:26" ht="16" thickBot="1" x14ac:dyDescent="0.25"/>
    <row r="28" spans="2:26" ht="16" thickBot="1" x14ac:dyDescent="0.25">
      <c r="B28" s="14" t="s">
        <v>29</v>
      </c>
      <c r="C28" s="15">
        <f>C8-C15-C23</f>
        <v>1712.1018000000001</v>
      </c>
      <c r="D28" s="16">
        <f>D8-D15-D23</f>
        <v>0</v>
      </c>
      <c r="I28" s="14" t="s">
        <v>57</v>
      </c>
      <c r="J28" s="57">
        <f>G5-J21</f>
        <v>26208.199999999997</v>
      </c>
    </row>
    <row r="29" spans="2:26" ht="16" thickBot="1" x14ac:dyDescent="0.25">
      <c r="D29" s="17">
        <f>SUM(C28:D28)</f>
        <v>1712.1018000000001</v>
      </c>
    </row>
    <row r="30" spans="2:26" x14ac:dyDescent="0.2">
      <c r="I30" t="s">
        <v>77</v>
      </c>
      <c r="J30" s="9">
        <f>J28-G2</f>
        <v>-767.4406999999992</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G36" sqref="G36"/>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83</v>
      </c>
      <c r="F2" t="s">
        <v>30</v>
      </c>
      <c r="G2" s="2">
        <f>Mar!J28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7</v>
      </c>
      <c r="F2" t="s">
        <v>30</v>
      </c>
      <c r="G2" s="2">
        <f>Apr!J28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G31" sqref="G31"/>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85</v>
      </c>
      <c r="F2" t="s">
        <v>30</v>
      </c>
      <c r="G2" s="2">
        <f>May!J28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86</v>
      </c>
      <c r="F2" t="s">
        <v>30</v>
      </c>
      <c r="G2" s="2">
        <f>Jun!J28</f>
        <v>26208.199999999997</v>
      </c>
      <c r="I2" s="9"/>
    </row>
    <row r="3" spans="2:38" x14ac:dyDescent="0.2">
      <c r="B3" s="10" t="s">
        <v>23</v>
      </c>
      <c r="C3" s="9">
        <f>C6*24</f>
        <v>0</v>
      </c>
      <c r="F3" s="111" t="s">
        <v>29</v>
      </c>
      <c r="G3" s="4">
        <f>D29</f>
        <v>0</v>
      </c>
    </row>
    <row r="4" spans="2:38" x14ac:dyDescent="0.2">
      <c r="F4" t="s">
        <v>31</v>
      </c>
      <c r="G4" s="2">
        <v>0</v>
      </c>
      <c r="I4" t="s">
        <v>81</v>
      </c>
      <c r="J4" s="9">
        <f>SUM(N4,R4,V4,Z4,AD4,AH4)</f>
        <v>1050</v>
      </c>
      <c r="L4" s="131" t="str">
        <f>CONCATENATE(L7," Budget")</f>
        <v>Gas Budget</v>
      </c>
      <c r="M4" s="131"/>
      <c r="N4" s="9">
        <f>-N8+'Monthly Breakdown'!Q50</f>
        <v>150</v>
      </c>
      <c r="P4" s="131" t="str">
        <f>CONCATENATE(P7," Budget")</f>
        <v>Groceries Budget</v>
      </c>
      <c r="Q4" s="131"/>
      <c r="R4" s="9">
        <f>-R8+'Monthly Breakdown'!Q51</f>
        <v>100</v>
      </c>
      <c r="T4" s="131" t="str">
        <f>CONCATENATE(T7," Budget")</f>
        <v>Eating Out Budget</v>
      </c>
      <c r="U4" s="131"/>
      <c r="V4" s="9">
        <f>-V8+'Monthly Breakdown'!Q52</f>
        <v>250</v>
      </c>
      <c r="X4" s="131" t="str">
        <f>CONCATENATE(X7," Budget")</f>
        <v>Going Out Budget</v>
      </c>
      <c r="Y4" s="131"/>
      <c r="Z4" s="9">
        <f>-Z8+'Monthly Breakdown'!Q53</f>
        <v>150</v>
      </c>
      <c r="AB4" s="131" t="str">
        <f>CONCATENATE(AB7," Budget")</f>
        <v>Miscellaneous Needs Budget</v>
      </c>
      <c r="AC4" s="131"/>
      <c r="AD4" s="9">
        <f>-AD8+'Monthly Breakdown'!Q54</f>
        <v>100</v>
      </c>
      <c r="AF4" s="131" t="str">
        <f>CONCATENATE(AF7," Budget")</f>
        <v>Miscellaneous Desires Budget</v>
      </c>
      <c r="AG4" s="131"/>
      <c r="AH4" s="9">
        <f>-AH8+'Monthly Breakdown'!Q55</f>
        <v>300</v>
      </c>
      <c r="AJ4" s="131"/>
      <c r="AK4" s="131"/>
      <c r="AL4" s="9"/>
    </row>
    <row r="5" spans="2:38" ht="16" thickBot="1" x14ac:dyDescent="0.25">
      <c r="B5" s="18" t="s">
        <v>15</v>
      </c>
      <c r="C5" s="19" t="s">
        <v>17</v>
      </c>
      <c r="D5" s="20" t="s">
        <v>18</v>
      </c>
      <c r="F5" s="111" t="s">
        <v>32</v>
      </c>
      <c r="G5" s="4">
        <f>SUM(G2:G4)</f>
        <v>26208.199999999997</v>
      </c>
      <c r="AJ5" s="59"/>
      <c r="AL5" s="9"/>
    </row>
    <row r="6" spans="2:38" ht="16" thickBot="1" x14ac:dyDescent="0.25">
      <c r="B6" s="21" t="s">
        <v>19</v>
      </c>
      <c r="C6" s="90">
        <v>0</v>
      </c>
      <c r="D6" s="90">
        <v>0</v>
      </c>
      <c r="L6" s="134" t="s">
        <v>59</v>
      </c>
      <c r="M6" s="134"/>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35" t="str">
        <f>I11</f>
        <v>Gas</v>
      </c>
      <c r="M7" s="135"/>
      <c r="P7" s="136" t="str">
        <f>I12</f>
        <v>Groceries</v>
      </c>
      <c r="Q7" s="136"/>
      <c r="T7" s="136" t="str">
        <f>I13</f>
        <v>Eating Out</v>
      </c>
      <c r="U7" s="136"/>
      <c r="X7" s="136" t="str">
        <f>I14</f>
        <v>Going Out</v>
      </c>
      <c r="Y7" s="136"/>
      <c r="AB7" s="136" t="str">
        <f>I15</f>
        <v>Miscellaneous Needs</v>
      </c>
      <c r="AC7" s="136"/>
      <c r="AF7" s="136" t="str">
        <f>I16</f>
        <v>Miscellaneous Desires</v>
      </c>
      <c r="AG7" s="136"/>
      <c r="AI7" s="10"/>
      <c r="AJ7" s="132"/>
      <c r="AK7" s="132"/>
      <c r="AL7" s="96"/>
    </row>
    <row r="8" spans="2:38" ht="16" thickBot="1" x14ac:dyDescent="0.25">
      <c r="B8" s="23" t="s">
        <v>49</v>
      </c>
      <c r="C8" s="7">
        <f>C6+C7</f>
        <v>0</v>
      </c>
      <c r="D8" s="24">
        <f>D6+D7</f>
        <v>0</v>
      </c>
      <c r="F8" s="48" t="str">
        <f>'Monthly Breakdown'!A29</f>
        <v>Living</v>
      </c>
      <c r="G8" s="91">
        <v>0</v>
      </c>
      <c r="H8" s="10"/>
      <c r="I8" s="10"/>
      <c r="J8" s="49"/>
      <c r="L8" s="137" t="s">
        <v>63</v>
      </c>
      <c r="M8" s="137"/>
      <c r="N8" s="60">
        <f>SUM(N10:N50)</f>
        <v>0</v>
      </c>
      <c r="P8" s="137" t="s">
        <v>63</v>
      </c>
      <c r="Q8" s="137"/>
      <c r="R8" s="60">
        <f>SUM(R10:R50)</f>
        <v>0</v>
      </c>
      <c r="T8" s="137" t="s">
        <v>63</v>
      </c>
      <c r="U8" s="137"/>
      <c r="V8" s="60">
        <f>SUM(V10:V50)</f>
        <v>0</v>
      </c>
      <c r="X8" s="137" t="s">
        <v>63</v>
      </c>
      <c r="Y8" s="137"/>
      <c r="Z8" s="60">
        <f>SUM(Z10:Z50)</f>
        <v>0</v>
      </c>
      <c r="AB8" s="137" t="s">
        <v>63</v>
      </c>
      <c r="AC8" s="137"/>
      <c r="AD8" s="60">
        <f>SUM(AD10:AD50)</f>
        <v>0</v>
      </c>
      <c r="AF8" s="137" t="s">
        <v>63</v>
      </c>
      <c r="AG8" s="137"/>
      <c r="AH8" s="60">
        <f>SUM(AH10:AH50)</f>
        <v>0</v>
      </c>
      <c r="AI8" s="10"/>
      <c r="AJ8" s="133"/>
      <c r="AK8" s="133"/>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26208.199999999997</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 ref="AF4:AG4"/>
    <mergeCell ref="L4:M4"/>
    <mergeCell ref="P4:Q4"/>
    <mergeCell ref="T4:U4"/>
    <mergeCell ref="X4:Y4"/>
    <mergeCell ref="AB4:AC4"/>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Monthly Breakdown</vt:lpstr>
      <vt:lpstr>Savings</vt:lpstr>
      <vt:lpstr>Jan</vt:lpstr>
      <vt:lpstr>Feb</vt:lpstr>
      <vt:lpstr>Mar</vt:lpstr>
      <vt:lpstr>Apr</vt:lpstr>
      <vt:lpstr>May</vt:lpstr>
      <vt:lpstr>Jun</vt:lpstr>
      <vt:lpstr>Jul</vt:lpstr>
      <vt:lpstr>Aug</vt:lpstr>
      <vt:lpstr>Sep</vt:lpstr>
      <vt:lpstr>Oct</vt:lpstr>
      <vt:lpstr>Nov</vt:lpstr>
      <vt:lpstr>Dec</vt:lpstr>
    </vt:vector>
  </TitlesOfParts>
  <Company>GM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Darron Giron II</dc:creator>
  <cp:lastModifiedBy>Microsoft Office User</cp:lastModifiedBy>
  <dcterms:created xsi:type="dcterms:W3CDTF">2015-01-15T20:06:21Z</dcterms:created>
  <dcterms:modified xsi:type="dcterms:W3CDTF">2017-03-15T18:51:37Z</dcterms:modified>
</cp:coreProperties>
</file>