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15"/>
  <workbookPr/>
  <mc:AlternateContent xmlns:mc="http://schemas.openxmlformats.org/markup-compatibility/2006">
    <mc:Choice Requires="x15">
      <x15ac:absPath xmlns:x15ac="http://schemas.microsoft.com/office/spreadsheetml/2010/11/ac" url="/Users/chris_giron/Documents/WorkSpace/Docs/"/>
    </mc:Choice>
  </mc:AlternateContent>
  <bookViews>
    <workbookView xWindow="0" yWindow="460" windowWidth="28800" windowHeight="17440" firstSheet="1" activeTab="14"/>
  </bookViews>
  <sheets>
    <sheet name="Financial Breakdown" sheetId="2" r:id="rId1"/>
    <sheet name="Monthly Breakdown" sheetId="1" r:id="rId2"/>
    <sheet name="Savings" sheetId="15" r:id="rId3"/>
    <sheet name="Jan" sheetId="3" r:id="rId4"/>
    <sheet name="Feb" sheetId="4" r:id="rId5"/>
    <sheet name="Mar" sheetId="5" r:id="rId6"/>
    <sheet name="Apr" sheetId="6" r:id="rId7"/>
    <sheet name="May" sheetId="7" r:id="rId8"/>
    <sheet name="Jun" sheetId="8" r:id="rId9"/>
    <sheet name="Jul" sheetId="9" r:id="rId10"/>
    <sheet name="Aug" sheetId="10" r:id="rId11"/>
    <sheet name="Sep" sheetId="11" r:id="rId12"/>
    <sheet name="Oct" sheetId="12" r:id="rId13"/>
    <sheet name="Nov" sheetId="13" r:id="rId14"/>
    <sheet name="Dec" sheetId="14" r:id="rId1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22" i="14" l="1"/>
  <c r="AH21" i="14"/>
  <c r="AH20" i="14"/>
  <c r="AH19" i="14"/>
  <c r="V20" i="14"/>
  <c r="Z20" i="14"/>
  <c r="Z22" i="14"/>
  <c r="Z21" i="14"/>
  <c r="B8" i="1"/>
  <c r="C8" i="1"/>
  <c r="D8" i="1"/>
  <c r="E8" i="1"/>
  <c r="F8" i="1"/>
  <c r="G8" i="1"/>
  <c r="H8" i="1"/>
  <c r="I8" i="1"/>
  <c r="J8" i="1"/>
  <c r="K8" i="1"/>
  <c r="L8" i="1"/>
  <c r="M8" i="1"/>
  <c r="O8" i="1"/>
  <c r="B7" i="1"/>
  <c r="B9" i="1"/>
  <c r="C7" i="1"/>
  <c r="C9" i="1"/>
  <c r="D7" i="1"/>
  <c r="D9" i="1"/>
  <c r="E7" i="1"/>
  <c r="E9" i="1"/>
  <c r="F7" i="1"/>
  <c r="F9" i="1"/>
  <c r="G7" i="1"/>
  <c r="G9" i="1"/>
  <c r="H7" i="1"/>
  <c r="H9" i="1"/>
  <c r="I7" i="1"/>
  <c r="I9" i="1"/>
  <c r="J7" i="1"/>
  <c r="J9" i="1"/>
  <c r="K7" i="1"/>
  <c r="K9" i="1"/>
  <c r="L7" i="1"/>
  <c r="L9" i="1"/>
  <c r="M7" i="1"/>
  <c r="M9" i="1"/>
  <c r="O9" i="1"/>
  <c r="C8" i="3"/>
  <c r="C12" i="3"/>
  <c r="D8" i="3"/>
  <c r="D12" i="3"/>
  <c r="B12" i="1"/>
  <c r="C8" i="4"/>
  <c r="C12" i="4"/>
  <c r="C12" i="1"/>
  <c r="D12" i="1"/>
  <c r="E12" i="1"/>
  <c r="F12" i="1"/>
  <c r="G12" i="1"/>
  <c r="H12" i="1"/>
  <c r="I12" i="1"/>
  <c r="J12" i="1"/>
  <c r="K12" i="1"/>
  <c r="L12" i="1"/>
  <c r="D8" i="14"/>
  <c r="D12" i="14"/>
  <c r="M12" i="1"/>
  <c r="O12" i="1"/>
  <c r="C13" i="3"/>
  <c r="D13" i="3"/>
  <c r="B13" i="1"/>
  <c r="C13" i="4"/>
  <c r="C13" i="1"/>
  <c r="D13" i="1"/>
  <c r="E13" i="1"/>
  <c r="F13" i="1"/>
  <c r="G13" i="1"/>
  <c r="H13" i="1"/>
  <c r="I13" i="1"/>
  <c r="J13" i="1"/>
  <c r="D8" i="12"/>
  <c r="D13" i="12"/>
  <c r="K13" i="1"/>
  <c r="L13" i="1"/>
  <c r="D13" i="14"/>
  <c r="M13" i="1"/>
  <c r="O13" i="1"/>
  <c r="C14" i="3"/>
  <c r="D14" i="3"/>
  <c r="B14" i="1"/>
  <c r="C14" i="4"/>
  <c r="C14" i="1"/>
  <c r="D14" i="1"/>
  <c r="E14" i="1"/>
  <c r="F14" i="1"/>
  <c r="G14" i="1"/>
  <c r="H14" i="1"/>
  <c r="I14" i="1"/>
  <c r="J14" i="1"/>
  <c r="D14" i="12"/>
  <c r="K14" i="1"/>
  <c r="L14" i="1"/>
  <c r="D14" i="14"/>
  <c r="M14" i="1"/>
  <c r="O14" i="1"/>
  <c r="B15" i="1"/>
  <c r="C15" i="1"/>
  <c r="D15" i="1"/>
  <c r="E15" i="1"/>
  <c r="F15" i="1"/>
  <c r="G15" i="1"/>
  <c r="H15" i="1"/>
  <c r="I15" i="1"/>
  <c r="J15" i="1"/>
  <c r="K15" i="1"/>
  <c r="L15" i="1"/>
  <c r="M15" i="1"/>
  <c r="O15" i="1"/>
  <c r="C21" i="3"/>
  <c r="D21" i="3"/>
  <c r="B18" i="1"/>
  <c r="C21" i="4"/>
  <c r="D21" i="4"/>
  <c r="C18" i="1"/>
  <c r="C21" i="5"/>
  <c r="D21" i="5"/>
  <c r="D18" i="1"/>
  <c r="C21" i="6"/>
  <c r="D21" i="6"/>
  <c r="E18" i="1"/>
  <c r="C21" i="7"/>
  <c r="D21" i="7"/>
  <c r="F18" i="1"/>
  <c r="C21" i="8"/>
  <c r="D21" i="8"/>
  <c r="G18" i="1"/>
  <c r="C21" i="9"/>
  <c r="D21" i="9"/>
  <c r="H18" i="1"/>
  <c r="C21" i="10"/>
  <c r="D21" i="10"/>
  <c r="I18" i="1"/>
  <c r="C21" i="11"/>
  <c r="D21" i="11"/>
  <c r="J18" i="1"/>
  <c r="C21" i="12"/>
  <c r="D21" i="12"/>
  <c r="K18" i="1"/>
  <c r="C21" i="13"/>
  <c r="D21" i="13"/>
  <c r="L18" i="1"/>
  <c r="C21" i="14"/>
  <c r="D21" i="14"/>
  <c r="M18" i="1"/>
  <c r="O18" i="1"/>
  <c r="C22" i="3"/>
  <c r="D22" i="3"/>
  <c r="B19" i="1"/>
  <c r="C22" i="4"/>
  <c r="D22" i="4"/>
  <c r="C19" i="1"/>
  <c r="C22" i="5"/>
  <c r="D22" i="5"/>
  <c r="D19" i="1"/>
  <c r="C22" i="6"/>
  <c r="D22" i="6"/>
  <c r="E19" i="1"/>
  <c r="C22" i="7"/>
  <c r="D22" i="7"/>
  <c r="F19" i="1"/>
  <c r="C22" i="8"/>
  <c r="D22" i="8"/>
  <c r="G19" i="1"/>
  <c r="C22" i="9"/>
  <c r="D22" i="9"/>
  <c r="H19" i="1"/>
  <c r="C22" i="10"/>
  <c r="D22" i="10"/>
  <c r="I19" i="1"/>
  <c r="C22" i="11"/>
  <c r="D22" i="11"/>
  <c r="J19" i="1"/>
  <c r="C22" i="12"/>
  <c r="D22" i="12"/>
  <c r="K19" i="1"/>
  <c r="C22" i="13"/>
  <c r="D22" i="13"/>
  <c r="L19" i="1"/>
  <c r="C22" i="14"/>
  <c r="D22" i="14"/>
  <c r="M19" i="1"/>
  <c r="O19" i="1"/>
  <c r="B20" i="1"/>
  <c r="C20" i="1"/>
  <c r="D20" i="1"/>
  <c r="E20" i="1"/>
  <c r="F20" i="1"/>
  <c r="G20" i="1"/>
  <c r="H20" i="1"/>
  <c r="I20" i="1"/>
  <c r="J20" i="1"/>
  <c r="K20" i="1"/>
  <c r="L20" i="1"/>
  <c r="M20" i="1"/>
  <c r="O20" i="1"/>
  <c r="B22" i="1"/>
  <c r="C22" i="1"/>
  <c r="D22" i="1"/>
  <c r="E22" i="1"/>
  <c r="F22" i="1"/>
  <c r="G22" i="1"/>
  <c r="H22" i="1"/>
  <c r="I22" i="1"/>
  <c r="J22" i="1"/>
  <c r="K22" i="1"/>
  <c r="L22" i="1"/>
  <c r="M22" i="1"/>
  <c r="O22" i="1"/>
  <c r="B24" i="1"/>
  <c r="C24" i="1"/>
  <c r="G4" i="5"/>
  <c r="D24" i="1"/>
  <c r="E24" i="1"/>
  <c r="G4" i="7"/>
  <c r="F24" i="1"/>
  <c r="G4" i="8"/>
  <c r="G24" i="1"/>
  <c r="G4" i="9"/>
  <c r="H24" i="1"/>
  <c r="G4" i="10"/>
  <c r="I24" i="1"/>
  <c r="J24" i="1"/>
  <c r="G4" i="12"/>
  <c r="K24" i="1"/>
  <c r="L24" i="1"/>
  <c r="M24" i="1"/>
  <c r="O24" i="1"/>
  <c r="B27" i="1"/>
  <c r="C27" i="1"/>
  <c r="D27" i="1"/>
  <c r="E27" i="1"/>
  <c r="F27" i="1"/>
  <c r="G27" i="1"/>
  <c r="H27" i="1"/>
  <c r="I27" i="1"/>
  <c r="J27" i="1"/>
  <c r="G8" i="12"/>
  <c r="K27" i="1"/>
  <c r="L27" i="1"/>
  <c r="M27" i="1"/>
  <c r="O27" i="1"/>
  <c r="G11" i="3"/>
  <c r="B30" i="1"/>
  <c r="G11" i="4"/>
  <c r="C30" i="1"/>
  <c r="G11" i="5"/>
  <c r="D30" i="1"/>
  <c r="G11" i="6"/>
  <c r="E30" i="1"/>
  <c r="G11" i="7"/>
  <c r="F30" i="1"/>
  <c r="G11" i="8"/>
  <c r="G30" i="1"/>
  <c r="G11" i="9"/>
  <c r="H30" i="1"/>
  <c r="G11" i="10"/>
  <c r="I30" i="1"/>
  <c r="G11" i="11"/>
  <c r="J30" i="1"/>
  <c r="G11" i="12"/>
  <c r="K30" i="1"/>
  <c r="G11" i="13"/>
  <c r="L30" i="1"/>
  <c r="G11" i="14"/>
  <c r="M30" i="1"/>
  <c r="O30" i="1"/>
  <c r="G12" i="3"/>
  <c r="B31" i="1"/>
  <c r="G12" i="4"/>
  <c r="C31" i="1"/>
  <c r="G12" i="5"/>
  <c r="D31" i="1"/>
  <c r="G12" i="6"/>
  <c r="E31" i="1"/>
  <c r="G12" i="7"/>
  <c r="F31" i="1"/>
  <c r="G12" i="8"/>
  <c r="G31" i="1"/>
  <c r="G12" i="9"/>
  <c r="H31" i="1"/>
  <c r="G12" i="10"/>
  <c r="I31" i="1"/>
  <c r="G12" i="11"/>
  <c r="J31" i="1"/>
  <c r="G12" i="12"/>
  <c r="K31" i="1"/>
  <c r="G12" i="13"/>
  <c r="L31" i="1"/>
  <c r="G12" i="14"/>
  <c r="M31" i="1"/>
  <c r="O31" i="1"/>
  <c r="G13" i="3"/>
  <c r="B32" i="1"/>
  <c r="G13" i="4"/>
  <c r="C32" i="1"/>
  <c r="G13" i="5"/>
  <c r="D32" i="1"/>
  <c r="E32" i="1"/>
  <c r="F32" i="1"/>
  <c r="G13" i="8"/>
  <c r="G32" i="1"/>
  <c r="G13" i="9"/>
  <c r="H32" i="1"/>
  <c r="I32" i="1"/>
  <c r="J32" i="1"/>
  <c r="G13" i="12"/>
  <c r="K32" i="1"/>
  <c r="G13" i="13"/>
  <c r="L32" i="1"/>
  <c r="G13" i="14"/>
  <c r="M32" i="1"/>
  <c r="O32" i="1"/>
  <c r="B33" i="1"/>
  <c r="C33" i="1"/>
  <c r="D33" i="1"/>
  <c r="E33" i="1"/>
  <c r="F33" i="1"/>
  <c r="G33" i="1"/>
  <c r="H33" i="1"/>
  <c r="I33" i="1"/>
  <c r="J33" i="1"/>
  <c r="K33" i="1"/>
  <c r="L33" i="1"/>
  <c r="M33" i="1"/>
  <c r="O33" i="1"/>
  <c r="B34" i="1"/>
  <c r="C34" i="1"/>
  <c r="D34" i="1"/>
  <c r="E34" i="1"/>
  <c r="F34" i="1"/>
  <c r="G34" i="1"/>
  <c r="H34" i="1"/>
  <c r="I34" i="1"/>
  <c r="J34" i="1"/>
  <c r="K34" i="1"/>
  <c r="L34" i="1"/>
  <c r="M34" i="1"/>
  <c r="O34" i="1"/>
  <c r="B37" i="1"/>
  <c r="C37" i="1"/>
  <c r="D37" i="1"/>
  <c r="E37" i="1"/>
  <c r="F37" i="1"/>
  <c r="G37" i="1"/>
  <c r="H37" i="1"/>
  <c r="G18" i="10"/>
  <c r="I37" i="1"/>
  <c r="J37" i="1"/>
  <c r="K37" i="1"/>
  <c r="L37" i="1"/>
  <c r="M37" i="1"/>
  <c r="O37" i="1"/>
  <c r="B38" i="1"/>
  <c r="C38" i="1"/>
  <c r="D38" i="1"/>
  <c r="E38" i="1"/>
  <c r="F38" i="1"/>
  <c r="G38" i="1"/>
  <c r="H38" i="1"/>
  <c r="G19" i="10"/>
  <c r="I38" i="1"/>
  <c r="G19" i="11"/>
  <c r="J38" i="1"/>
  <c r="K38" i="1"/>
  <c r="L38" i="1"/>
  <c r="M38" i="1"/>
  <c r="O38" i="1"/>
  <c r="B39" i="1"/>
  <c r="C39" i="1"/>
  <c r="D39" i="1"/>
  <c r="E39" i="1"/>
  <c r="F39" i="1"/>
  <c r="G39" i="1"/>
  <c r="H39" i="1"/>
  <c r="G20" i="10"/>
  <c r="I39" i="1"/>
  <c r="G20" i="11"/>
  <c r="J39" i="1"/>
  <c r="K39" i="1"/>
  <c r="L39" i="1"/>
  <c r="M39" i="1"/>
  <c r="O39" i="1"/>
  <c r="B40" i="1"/>
  <c r="C40" i="1"/>
  <c r="D40" i="1"/>
  <c r="E40" i="1"/>
  <c r="F40" i="1"/>
  <c r="G40" i="1"/>
  <c r="H40" i="1"/>
  <c r="I40" i="1"/>
  <c r="J40" i="1"/>
  <c r="K40" i="1"/>
  <c r="L40" i="1"/>
  <c r="M40" i="1"/>
  <c r="O40" i="1"/>
  <c r="B41" i="1"/>
  <c r="C41" i="1"/>
  <c r="D41" i="1"/>
  <c r="E41" i="1"/>
  <c r="F41" i="1"/>
  <c r="G41" i="1"/>
  <c r="H41" i="1"/>
  <c r="I41" i="1"/>
  <c r="J41" i="1"/>
  <c r="K41" i="1"/>
  <c r="L41" i="1"/>
  <c r="M41" i="1"/>
  <c r="O41" i="1"/>
  <c r="B42" i="1"/>
  <c r="C42" i="1"/>
  <c r="D42" i="1"/>
  <c r="E42" i="1"/>
  <c r="F42" i="1"/>
  <c r="G42" i="1"/>
  <c r="H42" i="1"/>
  <c r="I42" i="1"/>
  <c r="J42" i="1"/>
  <c r="K42" i="1"/>
  <c r="L42" i="1"/>
  <c r="M42" i="1"/>
  <c r="O42" i="1"/>
  <c r="B43" i="1"/>
  <c r="C43" i="1"/>
  <c r="D43" i="1"/>
  <c r="E43" i="1"/>
  <c r="F43" i="1"/>
  <c r="G43" i="1"/>
  <c r="H43" i="1"/>
  <c r="G24" i="10"/>
  <c r="I43" i="1"/>
  <c r="J43" i="1"/>
  <c r="G24" i="12"/>
  <c r="K43" i="1"/>
  <c r="L43" i="1"/>
  <c r="G24" i="14"/>
  <c r="M43" i="1"/>
  <c r="O43" i="1"/>
  <c r="B44" i="1"/>
  <c r="C44" i="1"/>
  <c r="D44" i="1"/>
  <c r="E44" i="1"/>
  <c r="F44" i="1"/>
  <c r="G44" i="1"/>
  <c r="H44" i="1"/>
  <c r="I44" i="1"/>
  <c r="J44" i="1"/>
  <c r="K44" i="1"/>
  <c r="L44" i="1"/>
  <c r="M44" i="1"/>
  <c r="O44" i="1"/>
  <c r="B45" i="1"/>
  <c r="C45" i="1"/>
  <c r="D45" i="1"/>
  <c r="E45" i="1"/>
  <c r="F45" i="1"/>
  <c r="G45" i="1"/>
  <c r="H45" i="1"/>
  <c r="I45" i="1"/>
  <c r="J45" i="1"/>
  <c r="K45" i="1"/>
  <c r="L45" i="1"/>
  <c r="M45" i="1"/>
  <c r="O45" i="1"/>
  <c r="N8" i="3"/>
  <c r="J11" i="3"/>
  <c r="B48" i="1"/>
  <c r="N8" i="4"/>
  <c r="J11" i="4"/>
  <c r="C48" i="1"/>
  <c r="N8" i="5"/>
  <c r="J11" i="5"/>
  <c r="D48" i="1"/>
  <c r="N8" i="6"/>
  <c r="J11" i="6"/>
  <c r="E48" i="1"/>
  <c r="N11" i="7"/>
  <c r="N8" i="7"/>
  <c r="J11" i="7"/>
  <c r="F48" i="1"/>
  <c r="N8" i="8"/>
  <c r="J11" i="8"/>
  <c r="G48" i="1"/>
  <c r="N10" i="9"/>
  <c r="N8" i="9"/>
  <c r="J11" i="9"/>
  <c r="H48" i="1"/>
  <c r="N13" i="10"/>
  <c r="N8" i="10"/>
  <c r="J11" i="10"/>
  <c r="I48" i="1"/>
  <c r="N10" i="11"/>
  <c r="N8" i="11"/>
  <c r="J11" i="11"/>
  <c r="J48" i="1"/>
  <c r="N10" i="12"/>
  <c r="N11" i="12"/>
  <c r="N12" i="12"/>
  <c r="N13" i="12"/>
  <c r="N8" i="12"/>
  <c r="J11" i="12"/>
  <c r="K48" i="1"/>
  <c r="N10" i="13"/>
  <c r="N11" i="13"/>
  <c r="N8" i="13"/>
  <c r="J11" i="13"/>
  <c r="L48" i="1"/>
  <c r="N11" i="14"/>
  <c r="N8" i="14"/>
  <c r="J11" i="14"/>
  <c r="M48" i="1"/>
  <c r="O48" i="1"/>
  <c r="R8" i="3"/>
  <c r="J12" i="3"/>
  <c r="B49" i="1"/>
  <c r="R16" i="4"/>
  <c r="R8" i="4"/>
  <c r="J12" i="4"/>
  <c r="C49" i="1"/>
  <c r="R8" i="5"/>
  <c r="J12" i="5"/>
  <c r="D49" i="1"/>
  <c r="R8" i="6"/>
  <c r="J12" i="6"/>
  <c r="E49" i="1"/>
  <c r="R8" i="7"/>
  <c r="J12" i="7"/>
  <c r="F49" i="1"/>
  <c r="R15" i="8"/>
  <c r="R8" i="8"/>
  <c r="J12" i="8"/>
  <c r="G49" i="1"/>
  <c r="R8" i="9"/>
  <c r="J12" i="9"/>
  <c r="H49" i="1"/>
  <c r="R11" i="10"/>
  <c r="R8" i="10"/>
  <c r="J12" i="10"/>
  <c r="I49" i="1"/>
  <c r="R11" i="11"/>
  <c r="R13" i="11"/>
  <c r="R15" i="11"/>
  <c r="R18" i="11"/>
  <c r="R8" i="11"/>
  <c r="J12" i="11"/>
  <c r="J49" i="1"/>
  <c r="R10" i="12"/>
  <c r="R8" i="12"/>
  <c r="J12" i="12"/>
  <c r="K49" i="1"/>
  <c r="R12" i="13"/>
  <c r="R13" i="13"/>
  <c r="R17" i="13"/>
  <c r="R8" i="13"/>
  <c r="J12" i="13"/>
  <c r="L49" i="1"/>
  <c r="R10" i="14"/>
  <c r="R8" i="14"/>
  <c r="J12" i="14"/>
  <c r="M49" i="1"/>
  <c r="O49" i="1"/>
  <c r="V11" i="3"/>
  <c r="V17" i="3"/>
  <c r="V8" i="3"/>
  <c r="J13" i="3"/>
  <c r="B50" i="1"/>
  <c r="V18" i="4"/>
  <c r="V8" i="4"/>
  <c r="J13" i="4"/>
  <c r="C50" i="1"/>
  <c r="V21" i="5"/>
  <c r="V8" i="5"/>
  <c r="J13" i="5"/>
  <c r="D50" i="1"/>
  <c r="V18" i="6"/>
  <c r="V19" i="6"/>
  <c r="V8" i="6"/>
  <c r="J13" i="6"/>
  <c r="E50" i="1"/>
  <c r="V8" i="7"/>
  <c r="J13" i="7"/>
  <c r="F50" i="1"/>
  <c r="V11" i="8"/>
  <c r="V8" i="8"/>
  <c r="J13" i="8"/>
  <c r="G50" i="1"/>
  <c r="V8" i="9"/>
  <c r="J13" i="9"/>
  <c r="H50" i="1"/>
  <c r="V16" i="10"/>
  <c r="V17" i="10"/>
  <c r="V18" i="10"/>
  <c r="V19" i="10"/>
  <c r="V20" i="10"/>
  <c r="V21" i="10"/>
  <c r="V22" i="10"/>
  <c r="V23" i="10"/>
  <c r="V24" i="10"/>
  <c r="V26" i="10"/>
  <c r="V27" i="10"/>
  <c r="V8" i="10"/>
  <c r="J13" i="10"/>
  <c r="I50" i="1"/>
  <c r="V10" i="11"/>
  <c r="V12" i="11"/>
  <c r="V13" i="11"/>
  <c r="V14" i="11"/>
  <c r="V15" i="11"/>
  <c r="V17" i="11"/>
  <c r="V18" i="11"/>
  <c r="V22" i="11"/>
  <c r="V8" i="11"/>
  <c r="J13" i="11"/>
  <c r="J50" i="1"/>
  <c r="V11" i="12"/>
  <c r="V12" i="12"/>
  <c r="V14" i="12"/>
  <c r="V16" i="12"/>
  <c r="V17" i="12"/>
  <c r="V18" i="12"/>
  <c r="V19" i="12"/>
  <c r="V20" i="12"/>
  <c r="V23" i="12"/>
  <c r="V24" i="12"/>
  <c r="V8" i="12"/>
  <c r="J13" i="12"/>
  <c r="K50" i="1"/>
  <c r="V10" i="13"/>
  <c r="V15" i="13"/>
  <c r="V16" i="13"/>
  <c r="V20" i="13"/>
  <c r="V21" i="13"/>
  <c r="V22" i="13"/>
  <c r="V23" i="13"/>
  <c r="V27" i="13"/>
  <c r="V8" i="13"/>
  <c r="J13" i="13"/>
  <c r="L50" i="1"/>
  <c r="V13" i="14"/>
  <c r="V14" i="14"/>
  <c r="V15" i="14"/>
  <c r="V16" i="14"/>
  <c r="V17" i="14"/>
  <c r="V18" i="14"/>
  <c r="V19" i="14"/>
  <c r="V8" i="14"/>
  <c r="J13" i="14"/>
  <c r="M50" i="1"/>
  <c r="O50" i="1"/>
  <c r="Z8" i="3"/>
  <c r="J14" i="3"/>
  <c r="B51" i="1"/>
  <c r="Z14" i="4"/>
  <c r="Z8" i="4"/>
  <c r="J14" i="4"/>
  <c r="C51" i="1"/>
  <c r="Z8" i="5"/>
  <c r="J14" i="5"/>
  <c r="D51" i="1"/>
  <c r="Z8" i="6"/>
  <c r="J14" i="6"/>
  <c r="E51" i="1"/>
  <c r="Z8" i="7"/>
  <c r="J14" i="7"/>
  <c r="F51" i="1"/>
  <c r="Z12" i="8"/>
  <c r="Z8" i="8"/>
  <c r="J14" i="8"/>
  <c r="G51" i="1"/>
  <c r="Z8" i="9"/>
  <c r="J14" i="9"/>
  <c r="H51" i="1"/>
  <c r="Z12" i="10"/>
  <c r="Z17" i="10"/>
  <c r="Z19" i="10"/>
  <c r="Z20" i="10"/>
  <c r="Z21" i="10"/>
  <c r="Z24" i="10"/>
  <c r="Z25" i="10"/>
  <c r="Z8" i="10"/>
  <c r="J14" i="10"/>
  <c r="I51" i="1"/>
  <c r="Z15" i="11"/>
  <c r="Z8" i="11"/>
  <c r="J14" i="11"/>
  <c r="J51" i="1"/>
  <c r="Z10" i="12"/>
  <c r="Z13" i="12"/>
  <c r="Z15" i="12"/>
  <c r="Z17" i="12"/>
  <c r="Z8" i="12"/>
  <c r="J14" i="12"/>
  <c r="K51" i="1"/>
  <c r="Z10" i="13"/>
  <c r="Z12" i="13"/>
  <c r="Z13" i="13"/>
  <c r="Z16" i="13"/>
  <c r="Z8" i="13"/>
  <c r="J14" i="13"/>
  <c r="L51" i="1"/>
  <c r="Z15" i="14"/>
  <c r="Z16" i="14"/>
  <c r="Z17" i="14"/>
  <c r="Z18" i="14"/>
  <c r="Z8" i="14"/>
  <c r="J14" i="14"/>
  <c r="M51" i="1"/>
  <c r="O51" i="1"/>
  <c r="AD8" i="3"/>
  <c r="J15" i="3"/>
  <c r="B52" i="1"/>
  <c r="AD8" i="4"/>
  <c r="J15" i="4"/>
  <c r="C52" i="1"/>
  <c r="AD8" i="5"/>
  <c r="J15" i="5"/>
  <c r="D52" i="1"/>
  <c r="AD8" i="6"/>
  <c r="J15" i="6"/>
  <c r="E52" i="1"/>
  <c r="AD15" i="7"/>
  <c r="AD8" i="7"/>
  <c r="J15" i="7"/>
  <c r="F52" i="1"/>
  <c r="AD8" i="8"/>
  <c r="J15" i="8"/>
  <c r="G52" i="1"/>
  <c r="AD8" i="9"/>
  <c r="J15" i="9"/>
  <c r="H52" i="1"/>
  <c r="AD13" i="10"/>
  <c r="AD14" i="10"/>
  <c r="AD8" i="10"/>
  <c r="J15" i="10"/>
  <c r="I52" i="1"/>
  <c r="AD11" i="11"/>
  <c r="AD12" i="11"/>
  <c r="AD8" i="11"/>
  <c r="J15" i="11"/>
  <c r="J52" i="1"/>
  <c r="AD10" i="12"/>
  <c r="AD14" i="12"/>
  <c r="AD15" i="12"/>
  <c r="AD8" i="12"/>
  <c r="J15" i="12"/>
  <c r="K52" i="1"/>
  <c r="AD10" i="13"/>
  <c r="AD8" i="13"/>
  <c r="J15" i="13"/>
  <c r="L52" i="1"/>
  <c r="AD11" i="14"/>
  <c r="AD8" i="14"/>
  <c r="J15" i="14"/>
  <c r="M52" i="1"/>
  <c r="O52" i="1"/>
  <c r="AH11" i="3"/>
  <c r="AH8" i="3"/>
  <c r="J16" i="3"/>
  <c r="B53" i="1"/>
  <c r="AH11" i="4"/>
  <c r="AH8" i="4"/>
  <c r="J16" i="4"/>
  <c r="C53" i="1"/>
  <c r="AH8" i="5"/>
  <c r="J16" i="5"/>
  <c r="D53" i="1"/>
  <c r="AH14" i="6"/>
  <c r="AH15" i="6"/>
  <c r="AH8" i="6"/>
  <c r="J16" i="6"/>
  <c r="E53" i="1"/>
  <c r="AH21" i="7"/>
  <c r="AH8" i="7"/>
  <c r="J16" i="7"/>
  <c r="F53" i="1"/>
  <c r="AH8" i="8"/>
  <c r="J16" i="8"/>
  <c r="G53" i="1"/>
  <c r="AH16" i="9"/>
  <c r="AH8" i="9"/>
  <c r="J16" i="9"/>
  <c r="H53" i="1"/>
  <c r="AH17" i="10"/>
  <c r="AH18" i="10"/>
  <c r="AH19" i="10"/>
  <c r="AH20" i="10"/>
  <c r="AH21" i="10"/>
  <c r="AH22" i="10"/>
  <c r="AH8" i="10"/>
  <c r="J16" i="10"/>
  <c r="I53" i="1"/>
  <c r="AH10" i="11"/>
  <c r="AH11" i="11"/>
  <c r="AH15" i="11"/>
  <c r="AH8" i="11"/>
  <c r="J16" i="11"/>
  <c r="J53" i="1"/>
  <c r="AH10" i="12"/>
  <c r="AH11" i="12"/>
  <c r="AH12" i="12"/>
  <c r="AH13" i="12"/>
  <c r="AH15" i="12"/>
  <c r="AH16" i="12"/>
  <c r="AH8" i="12"/>
  <c r="J16" i="12"/>
  <c r="K53" i="1"/>
  <c r="AH11" i="13"/>
  <c r="AH12" i="13"/>
  <c r="AH14" i="13"/>
  <c r="AH15" i="13"/>
  <c r="AH8" i="13"/>
  <c r="J16" i="13"/>
  <c r="L53" i="1"/>
  <c r="AH10" i="14"/>
  <c r="AH11" i="14"/>
  <c r="AH13" i="14"/>
  <c r="AH15" i="14"/>
  <c r="AH17" i="14"/>
  <c r="AH8" i="14"/>
  <c r="J16" i="14"/>
  <c r="M53" i="1"/>
  <c r="O53" i="1"/>
  <c r="J17" i="3"/>
  <c r="B54" i="1"/>
  <c r="J17" i="4"/>
  <c r="C54" i="1"/>
  <c r="J17" i="5"/>
  <c r="D54" i="1"/>
  <c r="J17" i="6"/>
  <c r="E54" i="1"/>
  <c r="J17" i="7"/>
  <c r="F54" i="1"/>
  <c r="J17" i="8"/>
  <c r="G54" i="1"/>
  <c r="J17" i="9"/>
  <c r="H54" i="1"/>
  <c r="J17" i="10"/>
  <c r="I54" i="1"/>
  <c r="J17" i="11"/>
  <c r="J54" i="1"/>
  <c r="J17" i="12"/>
  <c r="K54" i="1"/>
  <c r="J17" i="13"/>
  <c r="L54" i="1"/>
  <c r="J17" i="14"/>
  <c r="M54" i="1"/>
  <c r="O54" i="1"/>
  <c r="J18" i="3"/>
  <c r="B55" i="1"/>
  <c r="J18" i="4"/>
  <c r="C55" i="1"/>
  <c r="J18" i="5"/>
  <c r="D55" i="1"/>
  <c r="J18" i="6"/>
  <c r="E55" i="1"/>
  <c r="J36" i="7"/>
  <c r="J18" i="7"/>
  <c r="F55" i="1"/>
  <c r="J33" i="8"/>
  <c r="J18" i="8"/>
  <c r="G55" i="1"/>
  <c r="J33" i="9"/>
  <c r="J18" i="9"/>
  <c r="H55" i="1"/>
  <c r="J35" i="10"/>
  <c r="J18" i="10"/>
  <c r="I55" i="1"/>
  <c r="J18" i="11"/>
  <c r="J55" i="1"/>
  <c r="J33" i="12"/>
  <c r="J18" i="12"/>
  <c r="K55" i="1"/>
  <c r="J33" i="13"/>
  <c r="J18" i="13"/>
  <c r="L55" i="1"/>
  <c r="J34" i="14"/>
  <c r="J18" i="14"/>
  <c r="M55" i="1"/>
  <c r="O55" i="1"/>
  <c r="B56" i="1"/>
  <c r="C56" i="1"/>
  <c r="D56" i="1"/>
  <c r="E56" i="1"/>
  <c r="F56" i="1"/>
  <c r="G56" i="1"/>
  <c r="H56" i="1"/>
  <c r="I56" i="1"/>
  <c r="J56" i="1"/>
  <c r="K56" i="1"/>
  <c r="L56" i="1"/>
  <c r="M56" i="1"/>
  <c r="O56" i="1"/>
  <c r="B58" i="1"/>
  <c r="C58" i="1"/>
  <c r="D58" i="1"/>
  <c r="E58" i="1"/>
  <c r="F58" i="1"/>
  <c r="G58" i="1"/>
  <c r="H58" i="1"/>
  <c r="I58" i="1"/>
  <c r="J58" i="1"/>
  <c r="K58" i="1"/>
  <c r="L58" i="1"/>
  <c r="M58" i="1"/>
  <c r="O58" i="1"/>
  <c r="B2" i="1"/>
  <c r="B60" i="1"/>
  <c r="C60" i="1"/>
  <c r="D60" i="1"/>
  <c r="E60" i="1"/>
  <c r="F60" i="1"/>
  <c r="G60" i="1"/>
  <c r="H60" i="1"/>
  <c r="I60" i="1"/>
  <c r="J60" i="1"/>
  <c r="K60" i="1"/>
  <c r="L60" i="1"/>
  <c r="M60" i="1"/>
  <c r="O60" i="1"/>
  <c r="O7" i="1"/>
  <c r="Z4" i="10"/>
  <c r="L15" i="2"/>
  <c r="L16" i="2"/>
  <c r="L17" i="2"/>
  <c r="K18" i="2"/>
  <c r="L18" i="2"/>
  <c r="K19" i="2"/>
  <c r="L19" i="2"/>
  <c r="K20" i="2"/>
  <c r="L20" i="2"/>
  <c r="L14" i="2"/>
  <c r="G5" i="15"/>
  <c r="G4" i="15"/>
  <c r="G15" i="4"/>
  <c r="G2" i="15"/>
  <c r="R56" i="1"/>
  <c r="R44" i="1"/>
  <c r="R45" i="1"/>
  <c r="Q56" i="1"/>
  <c r="R58" i="1"/>
  <c r="R60" i="1"/>
  <c r="Z4" i="3"/>
  <c r="Q44" i="1"/>
  <c r="Q45" i="1"/>
  <c r="Q58" i="1"/>
  <c r="Q60" i="1"/>
  <c r="G25" i="14"/>
  <c r="D23" i="14"/>
  <c r="D24" i="14"/>
  <c r="C23" i="14"/>
  <c r="G15" i="14"/>
  <c r="AH4" i="14"/>
  <c r="V4" i="14"/>
  <c r="R4" i="14"/>
  <c r="C8" i="14"/>
  <c r="AD4" i="14"/>
  <c r="N4" i="14"/>
  <c r="C3" i="14"/>
  <c r="G25" i="13"/>
  <c r="D23" i="13"/>
  <c r="D24" i="13"/>
  <c r="C23" i="13"/>
  <c r="G15" i="13"/>
  <c r="AH4" i="13"/>
  <c r="R4" i="13"/>
  <c r="D8" i="13"/>
  <c r="C8" i="13"/>
  <c r="C3" i="13"/>
  <c r="G25" i="12"/>
  <c r="C23" i="12"/>
  <c r="C24" i="12"/>
  <c r="D23" i="12"/>
  <c r="D24" i="12"/>
  <c r="G15" i="12"/>
  <c r="AD4" i="12"/>
  <c r="C8" i="12"/>
  <c r="AH4" i="12"/>
  <c r="C3" i="12"/>
  <c r="G25" i="11"/>
  <c r="D23" i="11"/>
  <c r="D24" i="11"/>
  <c r="C23" i="11"/>
  <c r="C24" i="11"/>
  <c r="G15" i="11"/>
  <c r="AD4" i="11"/>
  <c r="Z4" i="11"/>
  <c r="V4" i="11"/>
  <c r="D8" i="11"/>
  <c r="C8" i="11"/>
  <c r="C3" i="11"/>
  <c r="G25" i="10"/>
  <c r="D23" i="10"/>
  <c r="D24" i="10"/>
  <c r="G15" i="10"/>
  <c r="AH4" i="10"/>
  <c r="V4" i="10"/>
  <c r="R4" i="10"/>
  <c r="D8" i="10"/>
  <c r="C8" i="10"/>
  <c r="C3" i="10"/>
  <c r="G25" i="9"/>
  <c r="D23" i="9"/>
  <c r="D24" i="9"/>
  <c r="C23" i="9"/>
  <c r="G15" i="9"/>
  <c r="AH4" i="9"/>
  <c r="R4" i="9"/>
  <c r="N4" i="9"/>
  <c r="D8" i="9"/>
  <c r="C8" i="9"/>
  <c r="C3" i="9"/>
  <c r="G25" i="8"/>
  <c r="C23" i="8"/>
  <c r="G15" i="8"/>
  <c r="AD4" i="8"/>
  <c r="Z4" i="8"/>
  <c r="D8" i="8"/>
  <c r="C8" i="8"/>
  <c r="C3" i="8"/>
  <c r="G25" i="7"/>
  <c r="C23" i="7"/>
  <c r="C24" i="7"/>
  <c r="G15" i="7"/>
  <c r="AD4" i="7"/>
  <c r="Z4" i="7"/>
  <c r="D8" i="7"/>
  <c r="C8" i="7"/>
  <c r="C3" i="7"/>
  <c r="G25" i="6"/>
  <c r="D23" i="6"/>
  <c r="D24" i="6"/>
  <c r="C23" i="6"/>
  <c r="C24" i="6"/>
  <c r="G15" i="6"/>
  <c r="AD4" i="6"/>
  <c r="V4" i="6"/>
  <c r="D8" i="6"/>
  <c r="C8" i="6"/>
  <c r="C3" i="6"/>
  <c r="G25" i="5"/>
  <c r="D23" i="5"/>
  <c r="D24" i="5"/>
  <c r="C23" i="5"/>
  <c r="C24" i="5"/>
  <c r="G15" i="5"/>
  <c r="AD4" i="5"/>
  <c r="Z4" i="5"/>
  <c r="V4" i="5"/>
  <c r="D8" i="5"/>
  <c r="C8" i="5"/>
  <c r="R4" i="5"/>
  <c r="C3" i="5"/>
  <c r="G25" i="4"/>
  <c r="G31" i="4"/>
  <c r="AD4" i="4"/>
  <c r="Z4" i="4"/>
  <c r="V4" i="4"/>
  <c r="D8" i="4"/>
  <c r="C3" i="4"/>
  <c r="G2" i="3"/>
  <c r="G25" i="3"/>
  <c r="Z4" i="14"/>
  <c r="J4" i="14"/>
  <c r="G26" i="14"/>
  <c r="N4" i="13"/>
  <c r="AD4" i="13"/>
  <c r="Z4" i="13"/>
  <c r="V4" i="13"/>
  <c r="G26" i="13"/>
  <c r="G26" i="12"/>
  <c r="Z4" i="12"/>
  <c r="R4" i="12"/>
  <c r="V4" i="12"/>
  <c r="G26" i="11"/>
  <c r="AH4" i="11"/>
  <c r="N4" i="11"/>
  <c r="R4" i="11"/>
  <c r="C23" i="10"/>
  <c r="D25" i="10"/>
  <c r="D26" i="10"/>
  <c r="N4" i="10"/>
  <c r="AD4" i="10"/>
  <c r="G26" i="10"/>
  <c r="G26" i="9"/>
  <c r="Z4" i="9"/>
  <c r="V4" i="9"/>
  <c r="AD4" i="9"/>
  <c r="D23" i="8"/>
  <c r="D24" i="8"/>
  <c r="AH4" i="8"/>
  <c r="R4" i="8"/>
  <c r="N4" i="8"/>
  <c r="V4" i="8"/>
  <c r="G26" i="8"/>
  <c r="AH4" i="6"/>
  <c r="D15" i="7"/>
  <c r="D23" i="7"/>
  <c r="D24" i="7"/>
  <c r="G26" i="7"/>
  <c r="V4" i="7"/>
  <c r="AH4" i="7"/>
  <c r="R4" i="7"/>
  <c r="C15" i="6"/>
  <c r="Z4" i="6"/>
  <c r="G26" i="6"/>
  <c r="R4" i="6"/>
  <c r="AH4" i="5"/>
  <c r="G26" i="5"/>
  <c r="D23" i="4"/>
  <c r="D24" i="4"/>
  <c r="AH4" i="4"/>
  <c r="C23" i="4"/>
  <c r="C24" i="4"/>
  <c r="G26" i="4"/>
  <c r="R4" i="4"/>
  <c r="D25" i="14"/>
  <c r="D26" i="14"/>
  <c r="C24" i="14"/>
  <c r="D15" i="14"/>
  <c r="D9" i="14"/>
  <c r="C15" i="14"/>
  <c r="D25" i="13"/>
  <c r="D26" i="13"/>
  <c r="C24" i="13"/>
  <c r="D9" i="13"/>
  <c r="C15" i="13"/>
  <c r="D15" i="12"/>
  <c r="J19" i="12"/>
  <c r="J21" i="12"/>
  <c r="D25" i="12"/>
  <c r="D26" i="12"/>
  <c r="D9" i="12"/>
  <c r="C15" i="12"/>
  <c r="N4" i="12"/>
  <c r="D25" i="11"/>
  <c r="D26" i="11"/>
  <c r="D9" i="11"/>
  <c r="D9" i="10"/>
  <c r="D15" i="10"/>
  <c r="D25" i="9"/>
  <c r="D26" i="9"/>
  <c r="C24" i="9"/>
  <c r="D9" i="9"/>
  <c r="D15" i="9"/>
  <c r="D15" i="8"/>
  <c r="D9" i="8"/>
  <c r="C15" i="8"/>
  <c r="C24" i="8"/>
  <c r="C15" i="7"/>
  <c r="D9" i="7"/>
  <c r="N4" i="7"/>
  <c r="D15" i="6"/>
  <c r="J19" i="6"/>
  <c r="D25" i="6"/>
  <c r="D26" i="6"/>
  <c r="N37" i="1"/>
  <c r="N43" i="1"/>
  <c r="D9" i="6"/>
  <c r="N4" i="6"/>
  <c r="D15" i="5"/>
  <c r="D25" i="5"/>
  <c r="D26" i="5"/>
  <c r="N55" i="1"/>
  <c r="D9" i="5"/>
  <c r="C15" i="5"/>
  <c r="N4" i="5"/>
  <c r="D9" i="4"/>
  <c r="N4" i="4"/>
  <c r="N54" i="1"/>
  <c r="D15" i="13"/>
  <c r="D16" i="13"/>
  <c r="J4" i="13"/>
  <c r="J4" i="12"/>
  <c r="J4" i="11"/>
  <c r="D15" i="11"/>
  <c r="D16" i="11"/>
  <c r="J19" i="11"/>
  <c r="J21" i="11"/>
  <c r="C15" i="11"/>
  <c r="C16" i="11"/>
  <c r="C24" i="10"/>
  <c r="C15" i="10"/>
  <c r="C28" i="10"/>
  <c r="J4" i="10"/>
  <c r="C15" i="9"/>
  <c r="C28" i="9"/>
  <c r="J4" i="9"/>
  <c r="D25" i="8"/>
  <c r="D26" i="8"/>
  <c r="J19" i="8"/>
  <c r="J21" i="8"/>
  <c r="J4" i="8"/>
  <c r="J19" i="7"/>
  <c r="J21" i="7"/>
  <c r="D25" i="7"/>
  <c r="D26" i="7"/>
  <c r="J4" i="7"/>
  <c r="J21" i="6"/>
  <c r="J4" i="6"/>
  <c r="J19" i="5"/>
  <c r="J21" i="5"/>
  <c r="J4" i="5"/>
  <c r="J19" i="4"/>
  <c r="D25" i="4"/>
  <c r="D26" i="4"/>
  <c r="C15" i="4"/>
  <c r="C16" i="4"/>
  <c r="D15" i="4"/>
  <c r="D28" i="4"/>
  <c r="J21" i="4"/>
  <c r="J4" i="4"/>
  <c r="D17" i="14"/>
  <c r="D18" i="14"/>
  <c r="C16" i="14"/>
  <c r="J19" i="14"/>
  <c r="J21" i="14"/>
  <c r="C28" i="14"/>
  <c r="D16" i="14"/>
  <c r="D28" i="14"/>
  <c r="C16" i="13"/>
  <c r="J19" i="13"/>
  <c r="J21" i="13"/>
  <c r="C28" i="13"/>
  <c r="C16" i="12"/>
  <c r="C28" i="12"/>
  <c r="D28" i="12"/>
  <c r="D29" i="12"/>
  <c r="G3" i="12"/>
  <c r="D17" i="12"/>
  <c r="D18" i="12"/>
  <c r="D16" i="12"/>
  <c r="D16" i="10"/>
  <c r="D28" i="10"/>
  <c r="D17" i="10"/>
  <c r="D18" i="10"/>
  <c r="J19" i="10"/>
  <c r="J21" i="10"/>
  <c r="D16" i="9"/>
  <c r="D28" i="9"/>
  <c r="C16" i="9"/>
  <c r="J19" i="9"/>
  <c r="J21" i="9"/>
  <c r="C16" i="8"/>
  <c r="D17" i="8"/>
  <c r="D18" i="8"/>
  <c r="C28" i="8"/>
  <c r="D16" i="8"/>
  <c r="D28" i="8"/>
  <c r="C16" i="7"/>
  <c r="C28" i="7"/>
  <c r="D17" i="7"/>
  <c r="D18" i="7"/>
  <c r="D16" i="7"/>
  <c r="D28" i="7"/>
  <c r="C16" i="6"/>
  <c r="C28" i="6"/>
  <c r="D28" i="6"/>
  <c r="D29" i="6"/>
  <c r="G3" i="6"/>
  <c r="D17" i="6"/>
  <c r="D18" i="6"/>
  <c r="D16" i="6"/>
  <c r="C16" i="5"/>
  <c r="C28" i="5"/>
  <c r="D17" i="5"/>
  <c r="D18" i="5"/>
  <c r="D16" i="5"/>
  <c r="D28" i="5"/>
  <c r="D17" i="13"/>
  <c r="D18" i="13"/>
  <c r="D28" i="13"/>
  <c r="D29" i="13"/>
  <c r="G3" i="13"/>
  <c r="D28" i="11"/>
  <c r="C28" i="11"/>
  <c r="D29" i="11"/>
  <c r="G3" i="11"/>
  <c r="D17" i="11"/>
  <c r="D18" i="11"/>
  <c r="D29" i="14"/>
  <c r="G3" i="14"/>
  <c r="D29" i="10"/>
  <c r="G3" i="10"/>
  <c r="C16" i="10"/>
  <c r="D29" i="9"/>
  <c r="G3" i="9"/>
  <c r="D17" i="9"/>
  <c r="D18" i="9"/>
  <c r="D16" i="4"/>
  <c r="D17" i="4"/>
  <c r="D18" i="4"/>
  <c r="C28" i="4"/>
  <c r="D29" i="4"/>
  <c r="G3" i="4"/>
  <c r="D29" i="8"/>
  <c r="G3" i="8"/>
  <c r="D29" i="7"/>
  <c r="G3" i="7"/>
  <c r="D29" i="5"/>
  <c r="G3" i="5"/>
  <c r="G15" i="3"/>
  <c r="V4" i="3"/>
  <c r="R4" i="3"/>
  <c r="C3" i="3"/>
  <c r="AH4" i="3"/>
  <c r="C23" i="3"/>
  <c r="C24" i="3"/>
  <c r="G26" i="3"/>
  <c r="D9" i="3"/>
  <c r="N4" i="3"/>
  <c r="AD4" i="3"/>
  <c r="J19" i="3"/>
  <c r="J21" i="3"/>
  <c r="D23" i="3"/>
  <c r="D24" i="3"/>
  <c r="D15" i="3"/>
  <c r="D16" i="3"/>
  <c r="C15" i="3"/>
  <c r="C28" i="3"/>
  <c r="J4" i="3"/>
  <c r="B4" i="2"/>
  <c r="B5" i="2"/>
  <c r="B16" i="2"/>
  <c r="B18" i="2"/>
  <c r="B19" i="2"/>
  <c r="B8" i="2"/>
  <c r="B11" i="2"/>
  <c r="B21" i="2"/>
  <c r="D17" i="3"/>
  <c r="D18" i="3"/>
  <c r="D28" i="3"/>
  <c r="G3" i="3"/>
  <c r="G5" i="3"/>
  <c r="J28" i="3"/>
  <c r="D25" i="3"/>
  <c r="D26" i="3"/>
  <c r="N39" i="1"/>
  <c r="N40" i="1"/>
  <c r="C16" i="3"/>
  <c r="N38" i="1"/>
  <c r="N27" i="1"/>
  <c r="N8" i="1"/>
  <c r="N24" i="1"/>
  <c r="N49" i="1"/>
  <c r="N52" i="1"/>
  <c r="N48" i="1"/>
  <c r="N50" i="1"/>
  <c r="N42" i="1"/>
  <c r="N41" i="1"/>
  <c r="N33" i="1"/>
  <c r="N32" i="1"/>
  <c r="N31" i="1"/>
  <c r="N30" i="1"/>
  <c r="N18" i="1"/>
  <c r="N7" i="1"/>
  <c r="J30" i="3"/>
  <c r="G2" i="4"/>
  <c r="G5" i="4"/>
  <c r="J28" i="4"/>
  <c r="J30" i="4"/>
  <c r="N51" i="1"/>
  <c r="N34" i="1"/>
  <c r="N19" i="1"/>
  <c r="N9" i="1"/>
  <c r="B1" i="1"/>
  <c r="N14" i="1"/>
  <c r="N13" i="1"/>
  <c r="N53" i="1"/>
  <c r="N44" i="1"/>
  <c r="G2" i="5"/>
  <c r="G5" i="5"/>
  <c r="J28" i="5"/>
  <c r="J30" i="5"/>
  <c r="N45" i="1"/>
  <c r="N20" i="1"/>
  <c r="N56" i="1"/>
  <c r="N12" i="1"/>
  <c r="G2" i="6"/>
  <c r="G5" i="6"/>
  <c r="J28" i="6"/>
  <c r="N58" i="1"/>
  <c r="N15" i="1"/>
  <c r="J30" i="6"/>
  <c r="G2" i="7"/>
  <c r="G5" i="7"/>
  <c r="J28" i="7"/>
  <c r="N22" i="1"/>
  <c r="G1" i="1"/>
  <c r="J30" i="7"/>
  <c r="G2" i="8"/>
  <c r="G5" i="8"/>
  <c r="J28" i="8"/>
  <c r="J30" i="8"/>
  <c r="G2" i="9"/>
  <c r="G5" i="9"/>
  <c r="J28" i="9"/>
  <c r="J30" i="9"/>
  <c r="G2" i="10"/>
  <c r="G5" i="10"/>
  <c r="J28" i="10"/>
  <c r="J30" i="10"/>
  <c r="G2" i="11"/>
  <c r="G5" i="11"/>
  <c r="J28" i="11"/>
  <c r="J30" i="11"/>
  <c r="G2" i="12"/>
  <c r="G5" i="12"/>
  <c r="J28" i="12"/>
  <c r="J30" i="12"/>
  <c r="G2" i="13"/>
  <c r="G5" i="13"/>
  <c r="J28" i="13"/>
  <c r="J30" i="13"/>
  <c r="G2" i="14"/>
  <c r="G5" i="14"/>
  <c r="J28" i="14"/>
  <c r="J30" i="14"/>
  <c r="B1" i="15"/>
  <c r="N60" i="1"/>
  <c r="L1" i="1"/>
</calcChain>
</file>

<file path=xl/sharedStrings.xml><?xml version="1.0" encoding="utf-8"?>
<sst xmlns="http://schemas.openxmlformats.org/spreadsheetml/2006/main" count="1823" uniqueCount="489">
  <si>
    <t>Gross Pay</t>
  </si>
  <si>
    <t>Spendable Income</t>
  </si>
  <si>
    <t>Yearly Difference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</si>
  <si>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</si>
  <si>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</si>
  <si>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</si>
  <si>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</si>
  <si>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</si>
  <si>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</si>
  <si>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</si>
  <si>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</si>
  <si>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</si>
  <si>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</si>
  <si>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</si>
  <si>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</si>
  <si>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Income</t>
  </si>
  <si>
    <t>Pre-tax Contributions</t>
  </si>
  <si>
    <t>Retirement Plan</t>
  </si>
  <si>
    <t>W-2 Wages</t>
  </si>
  <si>
    <t>Additional Income</t>
  </si>
  <si>
    <t>Total Income</t>
  </si>
  <si>
    <t>Miscellaneous Expenses</t>
  </si>
  <si>
    <t>Adjusted Gross Income</t>
  </si>
  <si>
    <t>Deductions/Exemptions</t>
  </si>
  <si>
    <t>Standard Deduction</t>
  </si>
  <si>
    <t>Personal Exemption</t>
  </si>
  <si>
    <t>Taxable Income</t>
  </si>
  <si>
    <t>Income Tax</t>
  </si>
  <si>
    <t>Effective Tax Percentage</t>
  </si>
  <si>
    <t>Net Income</t>
  </si>
  <si>
    <t>January</t>
  </si>
  <si>
    <t>First Payday</t>
  </si>
  <si>
    <t>Second Payday</t>
  </si>
  <si>
    <t>Gross Earning</t>
  </si>
  <si>
    <t>Bonus</t>
  </si>
  <si>
    <t>Social Security (6.2%)</t>
  </si>
  <si>
    <t>Medicare (1.45%)</t>
  </si>
  <si>
    <t>Withholding Tax (13.5%)</t>
  </si>
  <si>
    <t>Base Salary</t>
  </si>
  <si>
    <t>Total Tax Deduction</t>
  </si>
  <si>
    <t>Income Percentage</t>
  </si>
  <si>
    <t>Fed Tax Deductions</t>
  </si>
  <si>
    <t>401(K) Savings Deductions</t>
  </si>
  <si>
    <t>Roth RSP Savings (6%)</t>
  </si>
  <si>
    <t>Pre-Tax RSP Savings (4%)</t>
  </si>
  <si>
    <t>Total Savings Deductions</t>
  </si>
  <si>
    <t>Total Spendable Income</t>
  </si>
  <si>
    <t>Prior Account Balance</t>
  </si>
  <si>
    <t>Additional Misc Income</t>
  </si>
  <si>
    <t>Spendable Account Balance</t>
  </si>
  <si>
    <t>Expenses</t>
  </si>
  <si>
    <t>Utilities</t>
  </si>
  <si>
    <t>Electricity Bill</t>
  </si>
  <si>
    <t>Water Bill</t>
  </si>
  <si>
    <t>Miscellaneous Bill</t>
  </si>
  <si>
    <t>Cable/Internet Bill</t>
  </si>
  <si>
    <t>Total Utilities</t>
  </si>
  <si>
    <t>Auto Insurance</t>
  </si>
  <si>
    <t>Cell Phone Bill</t>
  </si>
  <si>
    <t>Gym Membership</t>
  </si>
  <si>
    <t>Spotify Membership</t>
  </si>
  <si>
    <t>Groceries</t>
  </si>
  <si>
    <t>Gas</t>
  </si>
  <si>
    <t>Monthly Fixed Expenses</t>
  </si>
  <si>
    <t>Total Fixed Expenses</t>
  </si>
  <si>
    <t>Subtotal Fixed Expenses</t>
  </si>
  <si>
    <t>Subtotal Income</t>
  </si>
  <si>
    <t>Monthly Variable Expenses</t>
  </si>
  <si>
    <t>Eating Out</t>
  </si>
  <si>
    <t>Going Out</t>
  </si>
  <si>
    <t>Miscellaneous Needs</t>
  </si>
  <si>
    <t>Miscellaneous Desires</t>
  </si>
  <si>
    <t>Total Variable Expenses</t>
  </si>
  <si>
    <t>Total Expenses</t>
  </si>
  <si>
    <t>Rollover Account Balance</t>
  </si>
  <si>
    <t>February</t>
  </si>
  <si>
    <t>Gross Income</t>
  </si>
  <si>
    <t>Variable Expenses</t>
  </si>
  <si>
    <t>Date</t>
  </si>
  <si>
    <t>Description</t>
  </si>
  <si>
    <t>Cost</t>
  </si>
  <si>
    <t>Misc Needs</t>
  </si>
  <si>
    <t>Total Amount:</t>
  </si>
  <si>
    <t>March</t>
  </si>
  <si>
    <t>Federal Tax Deductions</t>
  </si>
  <si>
    <t>Totals</t>
  </si>
  <si>
    <t>Withholding Tax</t>
  </si>
  <si>
    <t>Social Security</t>
  </si>
  <si>
    <t>Medicare</t>
  </si>
  <si>
    <t>401(k) Savings Deductions</t>
  </si>
  <si>
    <t>Living</t>
  </si>
  <si>
    <t>Savings</t>
  </si>
  <si>
    <t>Misc Income</t>
  </si>
  <si>
    <t>Mean AVG</t>
  </si>
  <si>
    <t>Acorn Investments</t>
  </si>
  <si>
    <t>Netflix</t>
  </si>
  <si>
    <t>Item</t>
  </si>
  <si>
    <t>Months</t>
  </si>
  <si>
    <t>Cost/Month</t>
  </si>
  <si>
    <t>Savings Balance</t>
  </si>
  <si>
    <t>Profit/Loss</t>
  </si>
  <si>
    <t>Car Payment</t>
  </si>
  <si>
    <t>Travel/Vacation</t>
  </si>
  <si>
    <t>Acorns</t>
  </si>
  <si>
    <t>Dec 2015 Rollover</t>
  </si>
  <si>
    <t>Gas Budget</t>
  </si>
  <si>
    <t>Grocery Budget</t>
  </si>
  <si>
    <t>Eating Out Budget</t>
  </si>
  <si>
    <t>Going Out Budget</t>
  </si>
  <si>
    <t>Misc Needs Budget</t>
  </si>
  <si>
    <t>Misc Disires Budget</t>
  </si>
  <si>
    <t>Misc Desires</t>
  </si>
  <si>
    <t>Variable Expense Budget</t>
  </si>
  <si>
    <t>Walgreens - Snacks</t>
  </si>
  <si>
    <t>Cinemark - Creed</t>
  </si>
  <si>
    <t>EZ Tag</t>
  </si>
  <si>
    <t>Verts</t>
  </si>
  <si>
    <t>Top Golf</t>
  </si>
  <si>
    <t>Museum - Concession</t>
  </si>
  <si>
    <t>HEB</t>
  </si>
  <si>
    <t>P Terry's</t>
  </si>
  <si>
    <t>East Side Pies</t>
  </si>
  <si>
    <t>Shell</t>
  </si>
  <si>
    <t>Dart Bowl</t>
  </si>
  <si>
    <t>Curra's</t>
  </si>
  <si>
    <t>USA Bar Vend</t>
  </si>
  <si>
    <t>Casino El Camino</t>
  </si>
  <si>
    <t>Steampunk Saloon</t>
  </si>
  <si>
    <t>Dogwood</t>
  </si>
  <si>
    <t>Black Sheep Lodge</t>
  </si>
  <si>
    <t>Kung Fu Saloon</t>
  </si>
  <si>
    <t>Austin Parking</t>
  </si>
  <si>
    <t>Whole Foods - Ice Skating</t>
  </si>
  <si>
    <t>Buc-ee's</t>
  </si>
  <si>
    <t>Amy's Ice Cream</t>
  </si>
  <si>
    <t>Chili's</t>
  </si>
  <si>
    <t>Cain &amp; Abel's</t>
  </si>
  <si>
    <t>Coop - License Plate Bracket</t>
  </si>
  <si>
    <t>Venmo - Toilet Paper</t>
  </si>
  <si>
    <t>Venmo - Christmas Lights</t>
  </si>
  <si>
    <t>Speedy Stop</t>
  </si>
  <si>
    <t>Chickfila</t>
  </si>
  <si>
    <t>Stripes - Slim Jim</t>
  </si>
  <si>
    <t>Hula Hut</t>
  </si>
  <si>
    <t>SUDS - Carwash</t>
  </si>
  <si>
    <t>CVS - Snacks</t>
  </si>
  <si>
    <t>Twin Liquors</t>
  </si>
  <si>
    <t>Redbox - Ted 2</t>
  </si>
  <si>
    <t>Cabo Bobs</t>
  </si>
  <si>
    <t>ATM</t>
  </si>
  <si>
    <t>Stripes</t>
  </si>
  <si>
    <t>Domino's</t>
  </si>
  <si>
    <t>Las Trancas</t>
  </si>
  <si>
    <t>RIO</t>
  </si>
  <si>
    <t>Juan In A Million</t>
  </si>
  <si>
    <t>Trudy's</t>
  </si>
  <si>
    <t>Whataburger</t>
  </si>
  <si>
    <t>1 Stop Food</t>
  </si>
  <si>
    <t>Panda Express</t>
  </si>
  <si>
    <t>Money owed for utilities</t>
  </si>
  <si>
    <t>COA - Parking</t>
  </si>
  <si>
    <t>Flyrite Chicken</t>
  </si>
  <si>
    <t>Petra Flowers</t>
  </si>
  <si>
    <t>GM Café</t>
  </si>
  <si>
    <t>Venmo - La Barbeque</t>
  </si>
  <si>
    <t>Venmo - Kitchen Supplies</t>
  </si>
  <si>
    <t>Amazon - Jamie B-Day</t>
  </si>
  <si>
    <t>Top Hat Cleaners</t>
  </si>
  <si>
    <t>Schlotzsky's</t>
  </si>
  <si>
    <t>University Car Wash</t>
  </si>
  <si>
    <t>Special Cuts</t>
  </si>
  <si>
    <t>Savings/Month</t>
  </si>
  <si>
    <t>Haymaker</t>
  </si>
  <si>
    <t>Bungalow</t>
  </si>
  <si>
    <t>Amazon</t>
  </si>
  <si>
    <t>Amazon - Razors/Soap</t>
  </si>
  <si>
    <t>CVS - B-Day Card/Pics</t>
  </si>
  <si>
    <t>Venmo - Flag Football</t>
  </si>
  <si>
    <t>USPS - Jamie Envelope</t>
  </si>
  <si>
    <t>Pinthouse Pizza</t>
  </si>
  <si>
    <t>Little Woodrows</t>
  </si>
  <si>
    <t>Amazon - North Face</t>
  </si>
  <si>
    <t>Amazon - Tuxedo Vest</t>
  </si>
  <si>
    <t>Corner Store</t>
  </si>
  <si>
    <t>Hopcat</t>
  </si>
  <si>
    <t>CVS - Shaving Cream/Lotion</t>
  </si>
  <si>
    <t>Harper's</t>
  </si>
  <si>
    <t>Hannas Coney Island</t>
  </si>
  <si>
    <t>McDonald's</t>
  </si>
  <si>
    <t>United - Wifi</t>
  </si>
  <si>
    <t>Dominos</t>
  </si>
  <si>
    <t>Buckshot</t>
  </si>
  <si>
    <t>Ricks Cleaners</t>
  </si>
  <si>
    <t>Tacos</t>
  </si>
  <si>
    <t>ATM - Withdraw</t>
  </si>
  <si>
    <t>Lake Austin Marina</t>
  </si>
  <si>
    <t>Shakespeares</t>
  </si>
  <si>
    <t>Blind Pig</t>
  </si>
  <si>
    <t>Gueros</t>
  </si>
  <si>
    <t>Gloria's</t>
  </si>
  <si>
    <t>Midnight Rodeo</t>
  </si>
  <si>
    <t>Mozarts - Coffee</t>
  </si>
  <si>
    <t>Shell - Candy</t>
  </si>
  <si>
    <t>Flyrite</t>
  </si>
  <si>
    <t>Alamo Draft House</t>
  </si>
  <si>
    <t>Lamberts BBQ</t>
  </si>
  <si>
    <t>HEB - Wine</t>
  </si>
  <si>
    <t>Redbox</t>
  </si>
  <si>
    <t>Venmo - Trey</t>
  </si>
  <si>
    <t>Blacks BBQ</t>
  </si>
  <si>
    <t>Blue Bonnet Golf</t>
  </si>
  <si>
    <t>Academy - Football</t>
  </si>
  <si>
    <t>Blazer Lazer Tag</t>
  </si>
  <si>
    <t>El Caribe</t>
  </si>
  <si>
    <t>1 Stop Food Store</t>
  </si>
  <si>
    <t>Tiffs Treats</t>
  </si>
  <si>
    <t>Hilton Java Jive</t>
  </si>
  <si>
    <t>HEB Gas</t>
  </si>
  <si>
    <t>Taqueria Los Altos</t>
  </si>
  <si>
    <t>Chevron</t>
  </si>
  <si>
    <t>Chevron - Ice</t>
  </si>
  <si>
    <t>Hill-Berts Burgers</t>
  </si>
  <si>
    <t>Starbucks</t>
  </si>
  <si>
    <t>Buc-ee's - Coffee</t>
  </si>
  <si>
    <t>Popeyes</t>
  </si>
  <si>
    <t>Champps</t>
  </si>
  <si>
    <t>Airport Wifi</t>
  </si>
  <si>
    <t>Blondies Barn</t>
  </si>
  <si>
    <t>Sansu Sushi</t>
  </si>
  <si>
    <t>Claddagh</t>
  </si>
  <si>
    <t>GK Liquor</t>
  </si>
  <si>
    <t>Texas DPS</t>
  </si>
  <si>
    <t>Sparty's Law</t>
  </si>
  <si>
    <t>NCG Movies</t>
  </si>
  <si>
    <t>Sultans</t>
  </si>
  <si>
    <t>King Wah</t>
  </si>
  <si>
    <t>April</t>
  </si>
  <si>
    <t>Clean Waters - Check</t>
  </si>
  <si>
    <t>Venmo - Logan</t>
  </si>
  <si>
    <t>Latitude</t>
  </si>
  <si>
    <t>Amazon - Suitcase/Jersey</t>
  </si>
  <si>
    <t>Matt's El Rancho</t>
  </si>
  <si>
    <t>Buffet King</t>
  </si>
  <si>
    <t>Bluebonnet Golf</t>
  </si>
  <si>
    <t>Amazon - GoPro Stuff</t>
  </si>
  <si>
    <t>Redbox - Sicario</t>
  </si>
  <si>
    <t>Chupacabra</t>
  </si>
  <si>
    <t>Big Fat Greek Gyros</t>
  </si>
  <si>
    <t>Free Press SF</t>
  </si>
  <si>
    <t>ACL</t>
  </si>
  <si>
    <t>Uber</t>
  </si>
  <si>
    <t>Cruise Deposit</t>
  </si>
  <si>
    <t>Cruise</t>
  </si>
  <si>
    <t>Jamie First Check</t>
  </si>
  <si>
    <t>Jamie Second Check</t>
  </si>
  <si>
    <t>Southwest Flight</t>
  </si>
  <si>
    <t>Cruise Alcohol Package</t>
  </si>
  <si>
    <t>Jamie's Portion</t>
  </si>
  <si>
    <t>Redbox - Avengers</t>
  </si>
  <si>
    <t>Sarah's Grill</t>
  </si>
  <si>
    <t>Car Wash Cash</t>
  </si>
  <si>
    <t>Taco Cabana</t>
  </si>
  <si>
    <t>Cozumel - Moped</t>
  </si>
  <si>
    <t>FedEx - Jersey</t>
  </si>
  <si>
    <t>Exon</t>
  </si>
  <si>
    <t>Aquarium</t>
  </si>
  <si>
    <t>Cozumel - Shirt</t>
  </si>
  <si>
    <t>Cayman - Jamie Stuff</t>
  </si>
  <si>
    <t>Rest Paprika</t>
  </si>
  <si>
    <t>Redbox - Concussion</t>
  </si>
  <si>
    <t>Carnival</t>
  </si>
  <si>
    <t>ATT Phone Taxes</t>
  </si>
  <si>
    <t>Amazon - Phone Case</t>
  </si>
  <si>
    <t>Amazon - Phone Chargers</t>
  </si>
  <si>
    <t>Non-Chase ATM</t>
  </si>
  <si>
    <t>IKEA - Dresser</t>
  </si>
  <si>
    <t>Topgolf</t>
  </si>
  <si>
    <t>UT Football Parking</t>
  </si>
  <si>
    <t>Macy's - Wedding</t>
  </si>
  <si>
    <t>IKEA</t>
  </si>
  <si>
    <t>Rudy's</t>
  </si>
  <si>
    <t>Mandola's</t>
  </si>
  <si>
    <t>Galaxy Highland</t>
  </si>
  <si>
    <t>Venmo - Kirby Tiff's</t>
  </si>
  <si>
    <t>Venmo - Kyle</t>
  </si>
  <si>
    <t>Cover 3</t>
  </si>
  <si>
    <t>Houston Train</t>
  </si>
  <si>
    <t>Free Press</t>
  </si>
  <si>
    <t>Wendy's</t>
  </si>
  <si>
    <t>Abdallah Bakery</t>
  </si>
  <si>
    <t>Bucc-ee's</t>
  </si>
  <si>
    <t>Car Wash</t>
  </si>
  <si>
    <t>Harris Toll Road</t>
  </si>
  <si>
    <t>Taqueria Chihuahua</t>
  </si>
  <si>
    <t>Kome</t>
  </si>
  <si>
    <t>Red River Market</t>
  </si>
  <si>
    <t>Cedar St</t>
  </si>
  <si>
    <t>South Padre Hotel</t>
  </si>
  <si>
    <t>Hobdoddy</t>
  </si>
  <si>
    <t>Lake Austin</t>
  </si>
  <si>
    <t>Lucy's Fried Chicken</t>
  </si>
  <si>
    <t>Eddie Vs</t>
  </si>
  <si>
    <t>Maggie Maes</t>
  </si>
  <si>
    <t>La Carneria</t>
  </si>
  <si>
    <t>Burnsides</t>
  </si>
  <si>
    <t>AMC Barton Creek - Dori</t>
  </si>
  <si>
    <t>Pedicure</t>
  </si>
  <si>
    <t>Mozarts Coffee</t>
  </si>
  <si>
    <t>Microsoft - Xbox Live</t>
  </si>
  <si>
    <t>Venmo - JT</t>
  </si>
  <si>
    <t>Venmo - JT Car Wash</t>
  </si>
  <si>
    <t>Louie's</t>
  </si>
  <si>
    <t>Sonic</t>
  </si>
  <si>
    <t>Redbox - Hateful 8</t>
  </si>
  <si>
    <t>Ted's Restaurant</t>
  </si>
  <si>
    <t>Mcdonald's</t>
  </si>
  <si>
    <t>Food Truck</t>
  </si>
  <si>
    <t>Sams</t>
  </si>
  <si>
    <t>June</t>
  </si>
  <si>
    <t>July</t>
  </si>
  <si>
    <t>Paperboy</t>
  </si>
  <si>
    <t>Fasten</t>
  </si>
  <si>
    <t>Venmo - Beer</t>
  </si>
  <si>
    <t>The Ranch</t>
  </si>
  <si>
    <t>Hopdoddy</t>
  </si>
  <si>
    <t>Kerbey Lane</t>
  </si>
  <si>
    <t>Abuelos</t>
  </si>
  <si>
    <t>Amazon - Watch</t>
  </si>
  <si>
    <t>Randalls</t>
  </si>
  <si>
    <t>Mozarts</t>
  </si>
  <si>
    <t>Precision Time</t>
  </si>
  <si>
    <t>AMC Movies - Tarzan</t>
  </si>
  <si>
    <t>Venmo - Astros Ticket</t>
  </si>
  <si>
    <t>Amazon - MicroSD Card</t>
  </si>
  <si>
    <t>Sala and Betty</t>
  </si>
  <si>
    <t>Venmo</t>
  </si>
  <si>
    <t>GooglePlay - TapSports</t>
  </si>
  <si>
    <t>Sunoco</t>
  </si>
  <si>
    <t>Exxon - Snacks</t>
  </si>
  <si>
    <t>Alamo Drafthouse</t>
  </si>
  <si>
    <t>Amazon - Altuve Jersey</t>
  </si>
  <si>
    <t>Bob Bullock - Star Trek</t>
  </si>
  <si>
    <t>Amazon - Phone Holder</t>
  </si>
  <si>
    <t>UT Football Tickets</t>
  </si>
  <si>
    <t>Lucille</t>
  </si>
  <si>
    <t>Clive Bar</t>
  </si>
  <si>
    <t>Half Step</t>
  </si>
  <si>
    <t>Vivo Tex Mex</t>
  </si>
  <si>
    <t>1 Stop Food - Gatorade</t>
  </si>
  <si>
    <t>Shake Shack</t>
  </si>
  <si>
    <t>Academy - Tennis Racket</t>
  </si>
  <si>
    <t>Walmart</t>
  </si>
  <si>
    <t>August</t>
  </si>
  <si>
    <t>September</t>
  </si>
  <si>
    <t>October</t>
  </si>
  <si>
    <t>November</t>
  </si>
  <si>
    <t>December</t>
  </si>
  <si>
    <t>Vince Young</t>
  </si>
  <si>
    <t>Valero</t>
  </si>
  <si>
    <t>Auto Detailing Austin</t>
  </si>
  <si>
    <t>Venmo - Logan Uber</t>
  </si>
  <si>
    <t>Minute Maid</t>
  </si>
  <si>
    <t>Brooklyn Athletic Club</t>
  </si>
  <si>
    <t>Boat Party</t>
  </si>
  <si>
    <t>Home Plate Bar</t>
  </si>
  <si>
    <t>El Tiempo</t>
  </si>
  <si>
    <t>Jason's Deli</t>
  </si>
  <si>
    <t>CVS - Prescription</t>
  </si>
  <si>
    <t>Houston Metro</t>
  </si>
  <si>
    <t>Saint Arnold Brewing</t>
  </si>
  <si>
    <t>Shell - Snacks</t>
  </si>
  <si>
    <t>1 Stop Food - Juice</t>
  </si>
  <si>
    <t>Tiff's Treats</t>
  </si>
  <si>
    <t>Shell - Gatorade</t>
  </si>
  <si>
    <t>Home Depot</t>
  </si>
  <si>
    <t>Ebay - Heart Gold</t>
  </si>
  <si>
    <t>Roth RSP Savings (8%)</t>
  </si>
  <si>
    <t>Baby Acapulco</t>
  </si>
  <si>
    <t>Pacific Rim</t>
  </si>
  <si>
    <t>Fudruckers</t>
  </si>
  <si>
    <t>Concrete Cowboy</t>
  </si>
  <si>
    <t>Emmer &amp; Rye</t>
  </si>
  <si>
    <t>Austin Taxi</t>
  </si>
  <si>
    <t>Los Altos</t>
  </si>
  <si>
    <t>Bun Belly</t>
  </si>
  <si>
    <t>Abel's On the Lake</t>
  </si>
  <si>
    <t>Pappadeaux</t>
  </si>
  <si>
    <t>Texaco</t>
  </si>
  <si>
    <t>Amazon - Projector</t>
  </si>
  <si>
    <t>GM Vending</t>
  </si>
  <si>
    <t>Irish Cowboy</t>
  </si>
  <si>
    <t>Boots N Shoots</t>
  </si>
  <si>
    <t>Tacos A Go Go</t>
  </si>
  <si>
    <t>Lanier Parking</t>
  </si>
  <si>
    <t>CVS - Beer</t>
  </si>
  <si>
    <t>Withholding Tax (14.6%)</t>
  </si>
  <si>
    <t>Scholz Garten</t>
  </si>
  <si>
    <t>Home Depot - Grill</t>
  </si>
  <si>
    <t>1 Stop - Gatorade</t>
  </si>
  <si>
    <t>Venmo - Dad Liquor</t>
  </si>
  <si>
    <t>Venmo - Walkon Fantasy</t>
  </si>
  <si>
    <t>Venmo - GM Fantasy</t>
  </si>
  <si>
    <t>Veracruz Tacos</t>
  </si>
  <si>
    <t>Crown and Anchor</t>
  </si>
  <si>
    <t>Subway</t>
  </si>
  <si>
    <t>Venmo - Logan Pizza</t>
  </si>
  <si>
    <t>Tysons Tacos</t>
  </si>
  <si>
    <t>ATX Boudain Hut</t>
  </si>
  <si>
    <t>Michigan Flyer</t>
  </si>
  <si>
    <t>Taco Truck</t>
  </si>
  <si>
    <t>Car Bumpber</t>
  </si>
  <si>
    <t>The Riv</t>
  </si>
  <si>
    <t>Dublin</t>
  </si>
  <si>
    <t>Los Tres Amigos</t>
  </si>
  <si>
    <t>Hannah - Gatorade</t>
  </si>
  <si>
    <t>Boingo Wireless</t>
  </si>
  <si>
    <t>E Lansing Park</t>
  </si>
  <si>
    <t>Meijer</t>
  </si>
  <si>
    <t>ACL - Beer</t>
  </si>
  <si>
    <t>Raising Canes</t>
  </si>
  <si>
    <t>Cheers</t>
  </si>
  <si>
    <t>Ralph Lauren</t>
  </si>
  <si>
    <t>Amazon - Shirt</t>
  </si>
  <si>
    <t>Amazon - Underwear</t>
  </si>
  <si>
    <t>Bachelors Box - Watch</t>
  </si>
  <si>
    <t>Exxon</t>
  </si>
  <si>
    <t>Venmo - Parking</t>
  </si>
  <si>
    <t>Angry Egg Roll</t>
  </si>
  <si>
    <t>Moonshine</t>
  </si>
  <si>
    <t>Amazon - Car Sponge</t>
  </si>
  <si>
    <t>Red River Market - Ice Cream</t>
  </si>
  <si>
    <t>Buckeys</t>
  </si>
  <si>
    <t>Burger Tex</t>
  </si>
  <si>
    <t>Specs</t>
  </si>
  <si>
    <t>Subway - Drink</t>
  </si>
  <si>
    <t>Russells Bistro</t>
  </si>
  <si>
    <t>Blackfinn</t>
  </si>
  <si>
    <t>Ride</t>
  </si>
  <si>
    <t>Macbook Pro</t>
  </si>
  <si>
    <t>Hyde Park Grill</t>
  </si>
  <si>
    <t>MOD Pizza</t>
  </si>
  <si>
    <t>AMC Barton Creek</t>
  </si>
  <si>
    <t>Rowdy Gentlman</t>
  </si>
  <si>
    <t>Local</t>
  </si>
  <si>
    <t>Game Beers</t>
  </si>
  <si>
    <t>Bank Parking</t>
  </si>
  <si>
    <t>Green Light Social</t>
  </si>
  <si>
    <t>Mens Warehouse</t>
  </si>
  <si>
    <t>Rebels Saloon</t>
  </si>
  <si>
    <t>Boot Barn</t>
  </si>
  <si>
    <t>Biscuits and Groovy</t>
  </si>
  <si>
    <t>Lebowskis</t>
  </si>
  <si>
    <t>Amy's Ice Creams</t>
  </si>
  <si>
    <t>Highland Lanes</t>
  </si>
  <si>
    <t>Kendra Scott</t>
  </si>
  <si>
    <t>Regal Cinemas</t>
  </si>
  <si>
    <t>Kroger</t>
  </si>
  <si>
    <t>Mrs Johnsons</t>
  </si>
  <si>
    <t>Posse East</t>
  </si>
  <si>
    <t>Picnik</t>
  </si>
  <si>
    <t>Saphire Membership</t>
  </si>
  <si>
    <t>Masala Wok</t>
  </si>
  <si>
    <t>COA Parking</t>
  </si>
  <si>
    <t>Bangers</t>
  </si>
  <si>
    <t>Denver Flight</t>
  </si>
  <si>
    <t>Turf N Surf</t>
  </si>
  <si>
    <t>Two Bucks</t>
  </si>
  <si>
    <t>Bivvi Hostel</t>
  </si>
  <si>
    <t>Venmo - Tiff's</t>
  </si>
  <si>
    <t>Spec's Liquors</t>
  </si>
  <si>
    <t>Save The World</t>
  </si>
  <si>
    <t>El Rodeo</t>
  </si>
  <si>
    <t>McDonalds</t>
  </si>
  <si>
    <t>Walgreens - Snack</t>
  </si>
  <si>
    <t>Venmo - Dillon</t>
  </si>
  <si>
    <t>Whole Foods</t>
  </si>
  <si>
    <t>Amazon - Henley, etc</t>
  </si>
  <si>
    <t>Sex Trafficing Charity</t>
  </si>
  <si>
    <t>Cinemark - Arrival</t>
  </si>
  <si>
    <t>Venmo - Rouge One</t>
  </si>
  <si>
    <t>Garage</t>
  </si>
  <si>
    <t>Bowl Pickem</t>
  </si>
  <si>
    <t>7-Eleven</t>
  </si>
  <si>
    <t>Brew Exchange</t>
  </si>
  <si>
    <t>Amazon - JT</t>
  </si>
  <si>
    <t>Venmo - Carley Present</t>
  </si>
  <si>
    <t>Hops Meet Barley</t>
  </si>
  <si>
    <t>Cinemark - Rouge One</t>
  </si>
  <si>
    <t>Corner Stop - Snacks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</si>
</sst>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164" formatCode="0.0%"/>
    <numFmt numFmtId="165" formatCode="0.000%"/>
    <numFmt numFmtId="166" formatCode="_(&quot;$&quot;* #,##0_);_(&quot;$&quot;* \(#,##0\);_(&quot;$&quot;* &quot;-&quot;??_);_(@_)"/>
    <numFmt numFmtId="167" formatCode="[$-409]mmmm\-yy;@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</fills>
  <borders count="3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7" fillId="3" borderId="0" applyNumberFormat="0" applyBorder="0" applyAlignment="0" applyProtection="0"/>
  </cellStyleXfs>
  <cellXfs count="135">
    <xf numFmtId="0" fontId="0" fillId="0" borderId="0" xfId="0"/>
    <xf numFmtId="0" fontId="3" fillId="0" borderId="0" xfId="0" applyFont="1"/>
    <xf numFmtId="44" fontId="3" fillId="2" borderId="1" xfId="1" applyFont="1" applyFill="1" applyBorder="1"/>
    <xf numFmtId="44" fontId="0" fillId="0" borderId="0" xfId="1" applyFont="1"/>
    <xf numFmtId="44" fontId="0" fillId="0" borderId="2" xfId="1" applyFont="1" applyBorder="1"/>
    <xf numFmtId="44" fontId="0" fillId="0" borderId="1" xfId="1" applyFont="1" applyBorder="1"/>
    <xf numFmtId="44" fontId="0" fillId="0" borderId="0" xfId="1" applyFont="1" applyBorder="1"/>
    <xf numFmtId="0" fontId="0" fillId="0" borderId="0" xfId="0" applyFont="1"/>
    <xf numFmtId="44" fontId="0" fillId="0" borderId="3" xfId="1" applyFont="1" applyBorder="1"/>
    <xf numFmtId="0" fontId="3" fillId="0" borderId="0" xfId="0" applyFont="1" applyFill="1" applyBorder="1"/>
    <xf numFmtId="44" fontId="0" fillId="0" borderId="4" xfId="1" applyFont="1" applyBorder="1"/>
    <xf numFmtId="0" fontId="0" fillId="0" borderId="0" xfId="0" applyFont="1" applyFill="1" applyBorder="1"/>
    <xf numFmtId="44" fontId="0" fillId="0" borderId="5" xfId="1" applyFont="1" applyBorder="1"/>
    <xf numFmtId="44" fontId="4" fillId="0" borderId="0" xfId="1" applyFont="1"/>
    <xf numFmtId="10" fontId="0" fillId="0" borderId="0" xfId="2" applyNumberFormat="1" applyFont="1"/>
    <xf numFmtId="44" fontId="3" fillId="0" borderId="0" xfId="1" applyFont="1"/>
    <xf numFmtId="0" fontId="0" fillId="0" borderId="1" xfId="0" applyBorder="1"/>
    <xf numFmtId="0" fontId="0" fillId="0" borderId="6" xfId="0" applyBorder="1"/>
    <xf numFmtId="44" fontId="0" fillId="0" borderId="7" xfId="1" applyFont="1" applyBorder="1"/>
    <xf numFmtId="0" fontId="0" fillId="0" borderId="8" xfId="0" applyBorder="1"/>
    <xf numFmtId="44" fontId="0" fillId="0" borderId="0" xfId="0" applyNumberFormat="1"/>
    <xf numFmtId="0" fontId="0" fillId="0" borderId="0" xfId="0" applyBorder="1"/>
    <xf numFmtId="44" fontId="4" fillId="0" borderId="7" xfId="0" applyNumberFormat="1" applyFont="1" applyBorder="1"/>
    <xf numFmtId="44" fontId="3" fillId="0" borderId="7" xfId="1" applyFont="1" applyBorder="1"/>
    <xf numFmtId="10" fontId="2" fillId="0" borderId="0" xfId="2" applyNumberFormat="1" applyFont="1" applyBorder="1" applyAlignment="1">
      <alignment horizontal="center"/>
    </xf>
    <xf numFmtId="0" fontId="3" fillId="0" borderId="9" xfId="0" applyFont="1" applyBorder="1"/>
    <xf numFmtId="44" fontId="0" fillId="0" borderId="10" xfId="0" applyNumberFormat="1" applyFont="1" applyBorder="1"/>
    <xf numFmtId="44" fontId="0" fillId="0" borderId="11" xfId="0" applyNumberFormat="1" applyFont="1" applyBorder="1"/>
    <xf numFmtId="44" fontId="3" fillId="0" borderId="1" xfId="0" applyNumberFormat="1" applyFont="1" applyBorder="1"/>
    <xf numFmtId="0" fontId="0" fillId="0" borderId="12" xfId="0" applyBorder="1"/>
    <xf numFmtId="0" fontId="0" fillId="0" borderId="7" xfId="0" applyBorder="1"/>
    <xf numFmtId="0" fontId="0" fillId="0" borderId="13" xfId="0" applyBorder="1"/>
    <xf numFmtId="0" fontId="0" fillId="0" borderId="14" xfId="0" applyBorder="1"/>
    <xf numFmtId="44" fontId="0" fillId="0" borderId="15" xfId="1" applyFont="1" applyBorder="1"/>
    <xf numFmtId="0" fontId="3" fillId="0" borderId="14" xfId="0" applyFont="1" applyBorder="1"/>
    <xf numFmtId="44" fontId="0" fillId="0" borderId="13" xfId="1" applyFont="1" applyBorder="1"/>
    <xf numFmtId="0" fontId="0" fillId="0" borderId="16" xfId="0" applyBorder="1"/>
    <xf numFmtId="44" fontId="0" fillId="0" borderId="17" xfId="1" applyFont="1" applyBorder="1"/>
    <xf numFmtId="0" fontId="0" fillId="0" borderId="18" xfId="0" applyBorder="1"/>
    <xf numFmtId="0" fontId="0" fillId="0" borderId="19" xfId="0" applyBorder="1"/>
    <xf numFmtId="0" fontId="0" fillId="0" borderId="14" xfId="0" applyFill="1" applyBorder="1"/>
    <xf numFmtId="44" fontId="0" fillId="0" borderId="15" xfId="0" applyNumberFormat="1" applyBorder="1"/>
    <xf numFmtId="0" fontId="3" fillId="0" borderId="14" xfId="0" applyFont="1" applyFill="1" applyBorder="1"/>
    <xf numFmtId="44" fontId="4" fillId="0" borderId="13" xfId="0" applyNumberFormat="1" applyFont="1" applyBorder="1"/>
    <xf numFmtId="10" fontId="2" fillId="0" borderId="15" xfId="2" applyNumberFormat="1" applyFont="1" applyBorder="1" applyAlignment="1">
      <alignment horizontal="center"/>
    </xf>
    <xf numFmtId="44" fontId="2" fillId="0" borderId="20" xfId="2" applyNumberFormat="1" applyFont="1" applyBorder="1" applyAlignment="1">
      <alignment horizontal="center"/>
    </xf>
    <xf numFmtId="0" fontId="0" fillId="0" borderId="16" xfId="0" applyFill="1" applyBorder="1"/>
    <xf numFmtId="10" fontId="2" fillId="0" borderId="8" xfId="2" applyNumberFormat="1" applyFont="1" applyBorder="1" applyAlignment="1">
      <alignment horizontal="center"/>
    </xf>
    <xf numFmtId="10" fontId="2" fillId="0" borderId="21" xfId="2" applyNumberFormat="1" applyFont="1" applyBorder="1" applyAlignment="1">
      <alignment horizontal="center"/>
    </xf>
    <xf numFmtId="44" fontId="3" fillId="0" borderId="13" xfId="1" applyFont="1" applyBorder="1"/>
    <xf numFmtId="164" fontId="0" fillId="0" borderId="0" xfId="2" applyNumberFormat="1" applyFont="1" applyBorder="1" applyAlignment="1">
      <alignment horizontal="center"/>
    </xf>
    <xf numFmtId="164" fontId="0" fillId="0" borderId="15" xfId="2" applyNumberFormat="1" applyFont="1" applyBorder="1" applyAlignment="1">
      <alignment horizontal="center"/>
    </xf>
    <xf numFmtId="44" fontId="0" fillId="0" borderId="20" xfId="0" applyNumberFormat="1" applyBorder="1"/>
    <xf numFmtId="164" fontId="0" fillId="0" borderId="21" xfId="2" applyNumberFormat="1" applyFont="1" applyBorder="1"/>
    <xf numFmtId="44" fontId="2" fillId="0" borderId="7" xfId="1" applyFont="1" applyBorder="1"/>
    <xf numFmtId="0" fontId="2" fillId="0" borderId="7" xfId="0" applyFont="1" applyBorder="1"/>
    <xf numFmtId="0" fontId="4" fillId="0" borderId="9" xfId="0" applyFont="1" applyBorder="1"/>
    <xf numFmtId="0" fontId="0" fillId="0" borderId="12" xfId="0" applyFont="1" applyBorder="1"/>
    <xf numFmtId="44" fontId="0" fillId="0" borderId="18" xfId="1" applyFont="1" applyBorder="1"/>
    <xf numFmtId="0" fontId="2" fillId="0" borderId="16" xfId="0" applyFont="1" applyFill="1" applyBorder="1"/>
    <xf numFmtId="0" fontId="0" fillId="0" borderId="15" xfId="0" applyBorder="1"/>
    <xf numFmtId="0" fontId="0" fillId="0" borderId="22" xfId="0" applyFont="1" applyFill="1" applyBorder="1"/>
    <xf numFmtId="0" fontId="0" fillId="0" borderId="14" xfId="0" applyFont="1" applyFill="1" applyBorder="1"/>
    <xf numFmtId="0" fontId="2" fillId="0" borderId="23" xfId="0" applyFont="1" applyFill="1" applyBorder="1"/>
    <xf numFmtId="44" fontId="2" fillId="0" borderId="13" xfId="1" applyFont="1" applyBorder="1"/>
    <xf numFmtId="0" fontId="0" fillId="0" borderId="22" xfId="0" applyBorder="1"/>
    <xf numFmtId="0" fontId="2" fillId="0" borderId="23" xfId="0" applyFont="1" applyBorder="1"/>
    <xf numFmtId="0" fontId="0" fillId="0" borderId="21" xfId="0" applyBorder="1"/>
    <xf numFmtId="44" fontId="3" fillId="0" borderId="11" xfId="0" applyNumberFormat="1" applyFont="1" applyBorder="1"/>
    <xf numFmtId="44" fontId="0" fillId="0" borderId="6" xfId="1" applyFont="1" applyBorder="1"/>
    <xf numFmtId="14" fontId="0" fillId="0" borderId="0" xfId="0" applyNumberFormat="1"/>
    <xf numFmtId="44" fontId="4" fillId="0" borderId="0" xfId="0" applyNumberFormat="1" applyFont="1"/>
    <xf numFmtId="44" fontId="0" fillId="0" borderId="6" xfId="0" applyNumberFormat="1" applyBorder="1"/>
    <xf numFmtId="14" fontId="0" fillId="0" borderId="6" xfId="0" applyNumberFormat="1" applyBorder="1"/>
    <xf numFmtId="0" fontId="0" fillId="0" borderId="8" xfId="0" applyNumberFormat="1" applyBorder="1"/>
    <xf numFmtId="44" fontId="0" fillId="0" borderId="8" xfId="0" applyNumberFormat="1" applyBorder="1"/>
    <xf numFmtId="0" fontId="3" fillId="0" borderId="0" xfId="0" applyFont="1"/>
    <xf numFmtId="0" fontId="0" fillId="0" borderId="0" xfId="0" applyFill="1" applyBorder="1"/>
    <xf numFmtId="44" fontId="2" fillId="0" borderId="0" xfId="0" applyNumberFormat="1" applyFont="1"/>
    <xf numFmtId="0" fontId="2" fillId="0" borderId="0" xfId="0" applyFont="1"/>
    <xf numFmtId="0" fontId="4" fillId="0" borderId="0" xfId="0" applyFont="1"/>
    <xf numFmtId="0" fontId="0" fillId="0" borderId="6" xfId="0" applyFill="1" applyBorder="1"/>
    <xf numFmtId="0" fontId="2" fillId="0" borderId="14" xfId="0" applyFont="1" applyFill="1" applyBorder="1"/>
    <xf numFmtId="44" fontId="3" fillId="0" borderId="10" xfId="0" applyNumberFormat="1" applyFont="1" applyBorder="1"/>
    <xf numFmtId="0" fontId="2" fillId="0" borderId="0" xfId="0" applyFont="1" applyBorder="1"/>
    <xf numFmtId="44" fontId="2" fillId="0" borderId="24" xfId="0" applyNumberFormat="1" applyFont="1" applyBorder="1"/>
    <xf numFmtId="0" fontId="2" fillId="0" borderId="0" xfId="0" applyFont="1" applyFill="1" applyBorder="1"/>
    <xf numFmtId="44" fontId="2" fillId="0" borderId="0" xfId="1" applyFont="1"/>
    <xf numFmtId="44" fontId="4" fillId="0" borderId="10" xfId="0" applyNumberFormat="1" applyFont="1" applyBorder="1"/>
    <xf numFmtId="44" fontId="3" fillId="0" borderId="0" xfId="0" applyNumberFormat="1" applyFont="1" applyBorder="1"/>
    <xf numFmtId="0" fontId="3" fillId="0" borderId="25" xfId="0" applyFont="1" applyBorder="1"/>
    <xf numFmtId="44" fontId="3" fillId="0" borderId="25" xfId="0" applyNumberFormat="1" applyFont="1" applyBorder="1"/>
    <xf numFmtId="44" fontId="0" fillId="0" borderId="25" xfId="0" applyNumberFormat="1" applyBorder="1"/>
    <xf numFmtId="44" fontId="3" fillId="0" borderId="26" xfId="0" applyNumberFormat="1" applyFont="1" applyBorder="1"/>
    <xf numFmtId="44" fontId="3" fillId="0" borderId="27" xfId="0" applyNumberFormat="1" applyFont="1" applyBorder="1"/>
    <xf numFmtId="44" fontId="2" fillId="0" borderId="6" xfId="0" applyNumberFormat="1" applyFont="1" applyBorder="1"/>
    <xf numFmtId="44" fontId="4" fillId="0" borderId="27" xfId="0" applyNumberFormat="1" applyFont="1" applyBorder="1"/>
    <xf numFmtId="0" fontId="3" fillId="0" borderId="0" xfId="0" applyFont="1"/>
    <xf numFmtId="44" fontId="3" fillId="0" borderId="0" xfId="0" applyNumberFormat="1" applyFont="1"/>
    <xf numFmtId="165" fontId="0" fillId="0" borderId="0" xfId="2" applyNumberFormat="1" applyFont="1"/>
    <xf numFmtId="44" fontId="0" fillId="0" borderId="0" xfId="0" applyNumberFormat="1" applyFill="1"/>
    <xf numFmtId="1" fontId="0" fillId="0" borderId="0" xfId="0" applyNumberFormat="1"/>
    <xf numFmtId="166" fontId="0" fillId="0" borderId="0" xfId="1" applyNumberFormat="1" applyFont="1"/>
    <xf numFmtId="44" fontId="0" fillId="0" borderId="0" xfId="1" applyFont="1" applyFill="1" applyBorder="1"/>
    <xf numFmtId="44" fontId="2" fillId="0" borderId="7" xfId="1" applyFont="1" applyFill="1" applyBorder="1"/>
    <xf numFmtId="0" fontId="3" fillId="0" borderId="0" xfId="0" applyFont="1"/>
    <xf numFmtId="44" fontId="4" fillId="0" borderId="28" xfId="1" applyFont="1" applyBorder="1"/>
    <xf numFmtId="0" fontId="4" fillId="0" borderId="29" xfId="0" applyFont="1" applyBorder="1"/>
    <xf numFmtId="44" fontId="4" fillId="0" borderId="30" xfId="1" applyFont="1" applyBorder="1"/>
    <xf numFmtId="44" fontId="0" fillId="0" borderId="0" xfId="0" applyNumberFormat="1" applyBorder="1"/>
    <xf numFmtId="44" fontId="0" fillId="0" borderId="31" xfId="0" applyNumberFormat="1" applyBorder="1"/>
    <xf numFmtId="0" fontId="5" fillId="0" borderId="6" xfId="0" applyFont="1" applyFill="1" applyBorder="1"/>
    <xf numFmtId="44" fontId="0" fillId="0" borderId="32" xfId="0" applyNumberFormat="1" applyBorder="1"/>
    <xf numFmtId="44" fontId="0" fillId="0" borderId="0" xfId="1" applyFont="1" applyAlignment="1"/>
    <xf numFmtId="44" fontId="2" fillId="0" borderId="0" xfId="1" applyFont="1" applyAlignment="1"/>
    <xf numFmtId="44" fontId="0" fillId="0" borderId="0" xfId="1" applyFont="1" applyFill="1"/>
    <xf numFmtId="44" fontId="0" fillId="0" borderId="15" xfId="1" applyFont="1" applyFill="1" applyBorder="1"/>
    <xf numFmtId="44" fontId="0" fillId="0" borderId="32" xfId="1" applyFont="1" applyBorder="1"/>
    <xf numFmtId="0" fontId="3" fillId="0" borderId="0" xfId="0" applyFont="1"/>
    <xf numFmtId="167" fontId="0" fillId="0" borderId="0" xfId="0" applyNumberFormat="1"/>
    <xf numFmtId="167" fontId="3" fillId="0" borderId="0" xfId="0" applyNumberFormat="1" applyFont="1"/>
    <xf numFmtId="0" fontId="3" fillId="0" borderId="33" xfId="0" applyFont="1" applyBorder="1"/>
    <xf numFmtId="44" fontId="3" fillId="0" borderId="4" xfId="0" applyNumberFormat="1" applyFont="1" applyBorder="1"/>
    <xf numFmtId="44" fontId="5" fillId="0" borderId="0" xfId="0" applyNumberFormat="1" applyFont="1" applyFill="1"/>
    <xf numFmtId="44" fontId="5" fillId="0" borderId="0" xfId="0" applyNumberFormat="1" applyFont="1"/>
    <xf numFmtId="44" fontId="0" fillId="0" borderId="19" xfId="1" applyFont="1" applyFill="1" applyBorder="1"/>
    <xf numFmtId="44" fontId="6" fillId="0" borderId="0" xfId="1" applyFont="1" applyAlignment="1"/>
    <xf numFmtId="44" fontId="7" fillId="3" borderId="0" xfId="3" applyNumberFormat="1"/>
    <xf numFmtId="44" fontId="0" fillId="2" borderId="0" xfId="0" applyNumberFormat="1" applyFill="1"/>
    <xf numFmtId="0" fontId="0" fillId="0" borderId="0" xfId="0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center"/>
    </xf>
    <xf numFmtId="14" fontId="0" fillId="0" borderId="0" xfId="0" applyNumberFormat="1" applyAlignment="1">
      <alignment horizontal="center"/>
    </xf>
  </cellXfs>
  <cellStyles count="4">
    <cellStyle name="Bad" xfId="3" builtinId="27"/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Relationship Id="rId1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workbookViewId="0">
      <selection activeCell="L23" sqref="L23"/>
    </sheetView>
  </sheetViews>
  <sheetFormatPr baseColWidth="10" defaultColWidth="8.83203125" defaultRowHeight="15" x14ac:dyDescent="0.2"/>
  <cols>
    <col min="1" max="1" width="23.1640625" bestFit="1" customWidth="1"/>
    <col min="2" max="2" width="12.33203125" bestFit="1" customWidth="1"/>
    <col min="11" max="11" width="11.5" bestFit="1" customWidth="1"/>
    <col min="12" max="12" width="12.5" bestFit="1" customWidth="1"/>
  </cols>
  <sheetData>
    <row r="1" spans="1:12" ht="16" thickBot="1" x14ac:dyDescent="0.25">
      <c r="A1" s="1" t="s">
        <v>0</v>
      </c>
      <c r="B1" s="2">
        <v>60000</v>
      </c>
    </row>
    <row r="2" spans="1:12" x14ac:dyDescent="0.2">
      <c r="A2" s="1"/>
      <c r="B2" s="3"/>
    </row>
    <row r="3" spans="1:12" x14ac:dyDescent="0.2">
      <c r="A3" s="1" t="s">
        <v>16</v>
      </c>
      <c r="B3" s="3"/>
    </row>
    <row r="4" spans="1:12" ht="16" thickBot="1" x14ac:dyDescent="0.25">
      <c r="A4" t="s">
        <v>17</v>
      </c>
      <c r="B4" s="4">
        <f>0.04*B1</f>
        <v>2400</v>
      </c>
    </row>
    <row r="5" spans="1:12" ht="16" thickBot="1" x14ac:dyDescent="0.25">
      <c r="A5" s="1" t="s">
        <v>18</v>
      </c>
      <c r="B5" s="5">
        <f>B1-SUM(B4:B4)</f>
        <v>57600</v>
      </c>
    </row>
    <row r="6" spans="1:12" x14ac:dyDescent="0.2">
      <c r="A6" s="1"/>
      <c r="B6" s="6"/>
    </row>
    <row r="7" spans="1:12" x14ac:dyDescent="0.2">
      <c r="A7" s="7" t="s">
        <v>19</v>
      </c>
      <c r="B7" s="8">
        <v>0</v>
      </c>
    </row>
    <row r="8" spans="1:12" ht="16" thickBot="1" x14ac:dyDescent="0.25">
      <c r="A8" s="9" t="s">
        <v>20</v>
      </c>
      <c r="B8" s="10">
        <f>B5+B7</f>
        <v>57600</v>
      </c>
    </row>
    <row r="9" spans="1:12" x14ac:dyDescent="0.2">
      <c r="A9" s="11"/>
      <c r="B9" s="3"/>
    </row>
    <row r="10" spans="1:12" ht="16" thickBot="1" x14ac:dyDescent="0.25">
      <c r="A10" s="11" t="s">
        <v>21</v>
      </c>
      <c r="B10" s="4"/>
    </row>
    <row r="11" spans="1:12" ht="16" thickBot="1" x14ac:dyDescent="0.25">
      <c r="A11" s="9" t="s">
        <v>22</v>
      </c>
      <c r="B11" s="2">
        <f>B8-B10</f>
        <v>57600</v>
      </c>
    </row>
    <row r="12" spans="1:12" x14ac:dyDescent="0.2">
      <c r="A12" s="11"/>
      <c r="B12" s="3"/>
    </row>
    <row r="13" spans="1:12" x14ac:dyDescent="0.2">
      <c r="A13" s="9" t="s">
        <v>23</v>
      </c>
      <c r="B13" s="3"/>
    </row>
    <row r="14" spans="1:12" x14ac:dyDescent="0.2">
      <c r="A14" t="s">
        <v>24</v>
      </c>
      <c r="B14" s="4">
        <v>6100</v>
      </c>
      <c r="J14">
        <v>0</v>
      </c>
      <c r="K14" s="102">
        <v>2292</v>
      </c>
      <c r="L14" s="102">
        <f>K14*24</f>
        <v>55008</v>
      </c>
    </row>
    <row r="15" spans="1:12" ht="16" thickBot="1" x14ac:dyDescent="0.25">
      <c r="A15" t="s">
        <v>25</v>
      </c>
      <c r="B15" s="12">
        <v>3900</v>
      </c>
      <c r="J15">
        <v>1</v>
      </c>
      <c r="K15" s="102">
        <v>2376</v>
      </c>
      <c r="L15" s="102">
        <f t="shared" ref="L15:L20" si="0">K15*24</f>
        <v>57024</v>
      </c>
    </row>
    <row r="16" spans="1:12" ht="16" thickBot="1" x14ac:dyDescent="0.25">
      <c r="A16" s="1" t="s">
        <v>26</v>
      </c>
      <c r="B16" s="5">
        <f>B5-SUM(B14:B15)</f>
        <v>47600</v>
      </c>
      <c r="J16">
        <v>2</v>
      </c>
      <c r="K16" s="102">
        <v>2480</v>
      </c>
      <c r="L16" s="102">
        <f t="shared" si="0"/>
        <v>59520</v>
      </c>
    </row>
    <row r="17" spans="1:14" x14ac:dyDescent="0.2">
      <c r="B17" s="3"/>
      <c r="J17">
        <v>3</v>
      </c>
      <c r="K17" s="102">
        <v>2589</v>
      </c>
      <c r="L17" s="102">
        <f t="shared" si="0"/>
        <v>62136</v>
      </c>
    </row>
    <row r="18" spans="1:14" x14ac:dyDescent="0.2">
      <c r="A18" s="1" t="s">
        <v>27</v>
      </c>
      <c r="B18" s="13">
        <f>0.1*9075+0.15*(36900-9075)+0.25*(B16-36900)</f>
        <v>7756.25</v>
      </c>
      <c r="J18">
        <v>4</v>
      </c>
      <c r="K18" s="102">
        <f>1.044*K17</f>
        <v>2702.9160000000002</v>
      </c>
      <c r="L18" s="102">
        <f t="shared" si="0"/>
        <v>64869.984000000004</v>
      </c>
    </row>
    <row r="19" spans="1:14" x14ac:dyDescent="0.2">
      <c r="A19" t="s">
        <v>28</v>
      </c>
      <c r="B19" s="14">
        <f>B18/B1</f>
        <v>0.12927083333333333</v>
      </c>
      <c r="J19">
        <v>5</v>
      </c>
      <c r="K19" s="102">
        <f>1.044*K18</f>
        <v>2821.8443040000002</v>
      </c>
      <c r="L19" s="102">
        <f t="shared" si="0"/>
        <v>67724.263296000005</v>
      </c>
    </row>
    <row r="20" spans="1:14" x14ac:dyDescent="0.2">
      <c r="B20" s="3"/>
      <c r="J20">
        <v>6</v>
      </c>
      <c r="K20" s="102">
        <f>1.044*K19</f>
        <v>2946.0054533760003</v>
      </c>
      <c r="L20" s="102">
        <f t="shared" si="0"/>
        <v>70704.130881024001</v>
      </c>
      <c r="N20" s="101"/>
    </row>
    <row r="21" spans="1:14" x14ac:dyDescent="0.2">
      <c r="A21" s="1" t="s">
        <v>29</v>
      </c>
      <c r="B21" s="15">
        <f>B11-B18</f>
        <v>49843.75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H36"/>
  <sheetViews>
    <sheetView topLeftCell="A11" zoomScale="90" zoomScaleNormal="90" zoomScalePageLayoutView="90" workbookViewId="0">
      <selection activeCell="I32" sqref="I32:J33"/>
    </sheetView>
  </sheetViews>
  <sheetFormatPr baseColWidth="10" defaultColWidth="8.83203125" defaultRowHeight="15" x14ac:dyDescent="0.2"/>
  <cols>
    <col min="1" max="1" width="1.83203125" customWidth="1"/>
    <col min="2" max="2" width="24.5" bestFit="1" customWidth="1"/>
    <col min="3" max="4" width="14.6640625" customWidth="1"/>
    <col min="5" max="5" width="3.6640625" customWidth="1"/>
    <col min="6" max="6" width="25.83203125" bestFit="1" customWidth="1"/>
    <col min="7" max="7" width="14.6640625" style="3" customWidth="1"/>
    <col min="8" max="8" width="3.5" customWidth="1"/>
    <col min="9" max="9" width="25.5" bestFit="1" customWidth="1"/>
    <col min="10" max="10" width="12.1640625" bestFit="1" customWidth="1"/>
    <col min="11" max="11" width="3.6640625" customWidth="1"/>
    <col min="12" max="12" width="11.5" style="70" customWidth="1"/>
    <col min="13" max="13" width="18.1640625" bestFit="1" customWidth="1"/>
    <col min="14" max="14" width="8.83203125" style="20"/>
    <col min="15" max="15" width="2.6640625" customWidth="1"/>
    <col min="16" max="16" width="11.5" style="70" customWidth="1"/>
    <col min="17" max="17" width="11.33203125" bestFit="1" customWidth="1"/>
    <col min="18" max="18" width="8.83203125" style="20"/>
    <col min="19" max="19" width="2.6640625" customWidth="1"/>
    <col min="20" max="20" width="11.5" style="70" customWidth="1"/>
    <col min="21" max="21" width="17.6640625" bestFit="1" customWidth="1"/>
    <col min="22" max="22" width="10.1640625" style="20" bestFit="1" customWidth="1"/>
    <col min="23" max="23" width="2.6640625" customWidth="1"/>
    <col min="24" max="24" width="11.5" style="70" customWidth="1"/>
    <col min="25" max="25" width="16.33203125" bestFit="1" customWidth="1"/>
    <col min="26" max="26" width="8.83203125" style="20"/>
    <col min="27" max="27" width="2.6640625" customWidth="1"/>
    <col min="28" max="28" width="11.5" style="70" customWidth="1"/>
    <col min="29" max="29" width="19.1640625" bestFit="1" customWidth="1"/>
    <col min="30" max="30" width="8.83203125" style="20"/>
    <col min="31" max="31" width="2.6640625" customWidth="1"/>
    <col min="32" max="32" width="11.5" style="70" customWidth="1"/>
    <col min="33" max="33" width="25" bestFit="1" customWidth="1"/>
    <col min="34" max="34" width="10.1640625" style="20" bestFit="1" customWidth="1"/>
  </cols>
  <sheetData>
    <row r="1" spans="2:34" ht="10.5" customHeight="1" thickBot="1" x14ac:dyDescent="0.25"/>
    <row r="2" spans="2:34" ht="16" thickBot="1" x14ac:dyDescent="0.25">
      <c r="B2" s="16" t="s">
        <v>319</v>
      </c>
      <c r="F2" t="s">
        <v>47</v>
      </c>
      <c r="G2" s="3">
        <f>Jun!J28</f>
        <v>19035.090000000004</v>
      </c>
      <c r="I2" s="20"/>
    </row>
    <row r="3" spans="2:34" x14ac:dyDescent="0.2">
      <c r="B3" s="21" t="s">
        <v>38</v>
      </c>
      <c r="C3" s="20">
        <f>C6*24</f>
        <v>62152.319999999992</v>
      </c>
      <c r="F3" s="105" t="s">
        <v>46</v>
      </c>
      <c r="G3" s="15">
        <f>D29</f>
        <v>3453.2204000000002</v>
      </c>
    </row>
    <row r="4" spans="2:34" x14ac:dyDescent="0.2">
      <c r="F4" t="s">
        <v>48</v>
      </c>
      <c r="G4" s="3">
        <f>165.98-7</f>
        <v>158.97999999999999</v>
      </c>
      <c r="I4" t="s">
        <v>112</v>
      </c>
      <c r="J4" s="20">
        <f>SUM(N4,R4,V4,Z4,AD4,AH4)</f>
        <v>-244.14999999999995</v>
      </c>
      <c r="L4" s="134" t="s">
        <v>105</v>
      </c>
      <c r="M4" s="134"/>
      <c r="N4" s="20">
        <f>150-N8</f>
        <v>19.590000000000003</v>
      </c>
      <c r="P4" s="134" t="s">
        <v>106</v>
      </c>
      <c r="Q4" s="134"/>
      <c r="R4" s="20">
        <f>100-R8</f>
        <v>-45.300000000000011</v>
      </c>
      <c r="T4" s="134" t="s">
        <v>107</v>
      </c>
      <c r="U4" s="134"/>
      <c r="V4" s="20">
        <f>200-V8</f>
        <v>-52.449999999999989</v>
      </c>
      <c r="X4" s="134" t="s">
        <v>108</v>
      </c>
      <c r="Y4" s="134"/>
      <c r="Z4" s="20">
        <f>150-Z8</f>
        <v>-76.680000000000007</v>
      </c>
      <c r="AB4" s="134" t="s">
        <v>109</v>
      </c>
      <c r="AC4" s="134"/>
      <c r="AD4" s="20">
        <f>100-AD8</f>
        <v>20.120000000000005</v>
      </c>
      <c r="AF4" s="134" t="s">
        <v>110</v>
      </c>
      <c r="AG4" s="134"/>
      <c r="AH4" s="20">
        <f>300-AH8</f>
        <v>-109.42999999999995</v>
      </c>
    </row>
    <row r="5" spans="2:34" ht="16" thickBot="1" x14ac:dyDescent="0.25">
      <c r="B5" s="29" t="s">
        <v>15</v>
      </c>
      <c r="C5" s="30" t="s">
        <v>31</v>
      </c>
      <c r="D5" s="31" t="s">
        <v>32</v>
      </c>
      <c r="F5" s="105" t="s">
        <v>49</v>
      </c>
      <c r="G5" s="15">
        <f>SUM(G2:G4)</f>
        <v>22647.290400000002</v>
      </c>
    </row>
    <row r="6" spans="2:34" ht="16" thickBot="1" x14ac:dyDescent="0.25">
      <c r="B6" s="32" t="s">
        <v>33</v>
      </c>
      <c r="C6" s="103">
        <v>2589.6799999999998</v>
      </c>
      <c r="D6" s="125">
        <v>2589.6799999999998</v>
      </c>
      <c r="L6" s="130" t="s">
        <v>77</v>
      </c>
      <c r="M6" s="130"/>
      <c r="N6" s="72"/>
      <c r="O6" s="17"/>
      <c r="P6" s="73"/>
      <c r="Q6" s="17"/>
      <c r="R6" s="72"/>
      <c r="S6" s="17"/>
      <c r="T6" s="73"/>
      <c r="U6" s="17"/>
      <c r="V6" s="72"/>
      <c r="W6" s="17"/>
      <c r="X6" s="73"/>
      <c r="Y6" s="17"/>
      <c r="Z6" s="72"/>
      <c r="AA6" s="17"/>
      <c r="AB6" s="73"/>
      <c r="AC6" s="17"/>
      <c r="AD6" s="72"/>
      <c r="AE6" s="17"/>
      <c r="AF6" s="73"/>
      <c r="AG6" s="17"/>
      <c r="AH6" s="72"/>
    </row>
    <row r="7" spans="2:34" ht="16" thickBot="1" x14ac:dyDescent="0.25">
      <c r="B7" s="32" t="s">
        <v>34</v>
      </c>
      <c r="C7" s="6">
        <v>0</v>
      </c>
      <c r="D7" s="33">
        <v>0</v>
      </c>
      <c r="F7" s="57" t="s">
        <v>50</v>
      </c>
      <c r="G7" s="58"/>
      <c r="H7" s="38"/>
      <c r="I7" s="38"/>
      <c r="J7" s="39"/>
      <c r="L7" s="131" t="s">
        <v>62</v>
      </c>
      <c r="M7" s="131"/>
      <c r="P7" s="132" t="s">
        <v>61</v>
      </c>
      <c r="Q7" s="132"/>
      <c r="T7" s="132" t="s">
        <v>68</v>
      </c>
      <c r="U7" s="132"/>
      <c r="X7" s="132" t="s">
        <v>69</v>
      </c>
      <c r="Y7" s="132"/>
      <c r="AB7" s="132" t="s">
        <v>81</v>
      </c>
      <c r="AC7" s="132"/>
      <c r="AF7" s="132" t="s">
        <v>111</v>
      </c>
      <c r="AG7" s="132"/>
    </row>
    <row r="8" spans="2:34" ht="16" thickBot="1" x14ac:dyDescent="0.25">
      <c r="B8" s="34" t="s">
        <v>66</v>
      </c>
      <c r="C8" s="18">
        <f>C6+C7</f>
        <v>2589.6799999999998</v>
      </c>
      <c r="D8" s="35">
        <f>D6+D7</f>
        <v>2589.6799999999998</v>
      </c>
      <c r="F8" s="59" t="s">
        <v>90</v>
      </c>
      <c r="G8" s="104">
        <v>700</v>
      </c>
      <c r="H8" s="21"/>
      <c r="I8" s="21"/>
      <c r="J8" s="60"/>
      <c r="L8" s="133" t="s">
        <v>82</v>
      </c>
      <c r="M8" s="133"/>
      <c r="N8" s="71">
        <f>SUM(N10:N50)</f>
        <v>130.41</v>
      </c>
      <c r="P8" s="133" t="s">
        <v>82</v>
      </c>
      <c r="Q8" s="133"/>
      <c r="R8" s="71">
        <f>SUM(R10:R50)</f>
        <v>145.30000000000001</v>
      </c>
      <c r="T8" s="133" t="s">
        <v>82</v>
      </c>
      <c r="U8" s="133"/>
      <c r="V8" s="71">
        <f>SUM(V10:V50)</f>
        <v>252.45</v>
      </c>
      <c r="X8" s="133" t="s">
        <v>82</v>
      </c>
      <c r="Y8" s="133"/>
      <c r="Z8" s="71">
        <f>SUM(Z10:Z50)</f>
        <v>226.68</v>
      </c>
      <c r="AB8" s="133" t="s">
        <v>82</v>
      </c>
      <c r="AC8" s="133"/>
      <c r="AD8" s="71">
        <f>SUM(AD10:AD50)</f>
        <v>79.88</v>
      </c>
      <c r="AF8" s="133" t="s">
        <v>82</v>
      </c>
      <c r="AG8" s="133"/>
      <c r="AH8" s="71">
        <f>SUM(AH10:AH50)</f>
        <v>409.42999999999995</v>
      </c>
    </row>
    <row r="9" spans="2:34" x14ac:dyDescent="0.2">
      <c r="B9" s="36"/>
      <c r="C9" s="19"/>
      <c r="D9" s="37">
        <f>SUM(C8:D8)</f>
        <v>5179.3599999999997</v>
      </c>
      <c r="F9" s="32"/>
      <c r="G9" s="6"/>
      <c r="H9" s="21"/>
      <c r="I9" s="21"/>
      <c r="J9" s="60"/>
      <c r="L9" s="74" t="s">
        <v>78</v>
      </c>
      <c r="M9" s="19" t="s">
        <v>79</v>
      </c>
      <c r="N9" s="75" t="s">
        <v>80</v>
      </c>
      <c r="P9" s="74" t="s">
        <v>78</v>
      </c>
      <c r="Q9" s="19" t="s">
        <v>79</v>
      </c>
      <c r="R9" s="75" t="s">
        <v>80</v>
      </c>
      <c r="T9" s="74" t="s">
        <v>78</v>
      </c>
      <c r="U9" s="19" t="s">
        <v>79</v>
      </c>
      <c r="V9" s="75" t="s">
        <v>80</v>
      </c>
      <c r="X9" s="74" t="s">
        <v>78</v>
      </c>
      <c r="Y9" s="19" t="s">
        <v>79</v>
      </c>
      <c r="Z9" s="75" t="s">
        <v>80</v>
      </c>
      <c r="AB9" s="74" t="s">
        <v>78</v>
      </c>
      <c r="AC9" s="19" t="s">
        <v>79</v>
      </c>
      <c r="AD9" s="75" t="s">
        <v>80</v>
      </c>
      <c r="AF9" s="74" t="s">
        <v>78</v>
      </c>
      <c r="AG9" s="19" t="s">
        <v>79</v>
      </c>
      <c r="AH9" s="75" t="s">
        <v>80</v>
      </c>
    </row>
    <row r="10" spans="2:34" ht="16" thickBot="1" x14ac:dyDescent="0.25">
      <c r="F10" s="61" t="s">
        <v>51</v>
      </c>
      <c r="G10" s="6"/>
      <c r="H10" s="21"/>
      <c r="I10" s="17" t="s">
        <v>67</v>
      </c>
      <c r="J10" s="60"/>
      <c r="L10" s="70">
        <v>42555</v>
      </c>
      <c r="M10" t="s">
        <v>195</v>
      </c>
      <c r="N10" s="100">
        <f>49.77-20</f>
        <v>29.770000000000003</v>
      </c>
      <c r="P10" s="70">
        <v>42552</v>
      </c>
      <c r="Q10" t="s">
        <v>119</v>
      </c>
      <c r="R10" s="100">
        <v>21.63</v>
      </c>
      <c r="T10" s="70">
        <v>42553</v>
      </c>
      <c r="U10" t="s">
        <v>141</v>
      </c>
      <c r="V10" s="100">
        <v>17.96</v>
      </c>
      <c r="X10" s="70">
        <v>42552</v>
      </c>
      <c r="Y10" t="s">
        <v>153</v>
      </c>
      <c r="Z10" s="20">
        <v>17.989999999999998</v>
      </c>
      <c r="AB10" s="70">
        <v>42552</v>
      </c>
      <c r="AC10" t="s">
        <v>131</v>
      </c>
      <c r="AD10" s="100">
        <v>1.3</v>
      </c>
      <c r="AF10" s="70">
        <v>42561</v>
      </c>
      <c r="AG10" t="s">
        <v>327</v>
      </c>
      <c r="AH10" s="100">
        <v>14.99</v>
      </c>
    </row>
    <row r="11" spans="2:34" ht="16" thickBot="1" x14ac:dyDescent="0.25">
      <c r="B11" s="29" t="s">
        <v>41</v>
      </c>
      <c r="C11" s="38"/>
      <c r="D11" s="39"/>
      <c r="F11" s="62" t="s">
        <v>52</v>
      </c>
      <c r="G11" s="6">
        <f>403.89/5</f>
        <v>80.777999999999992</v>
      </c>
      <c r="H11" s="21"/>
      <c r="I11" s="21" t="s">
        <v>62</v>
      </c>
      <c r="J11" s="33">
        <f>N8</f>
        <v>130.41</v>
      </c>
      <c r="L11" s="70">
        <v>42562</v>
      </c>
      <c r="M11" t="s">
        <v>119</v>
      </c>
      <c r="N11" s="100">
        <v>34.93</v>
      </c>
      <c r="P11" s="70">
        <v>42558</v>
      </c>
      <c r="Q11" t="s">
        <v>119</v>
      </c>
      <c r="R11" s="20">
        <v>12.36</v>
      </c>
      <c r="T11" s="70">
        <v>42554</v>
      </c>
      <c r="U11" t="s">
        <v>320</v>
      </c>
      <c r="V11" s="100">
        <v>7.58</v>
      </c>
      <c r="X11" s="70">
        <v>42552</v>
      </c>
      <c r="Y11" t="s">
        <v>130</v>
      </c>
      <c r="Z11" s="100">
        <v>9</v>
      </c>
      <c r="AB11" s="70">
        <v>42552</v>
      </c>
      <c r="AC11" t="s">
        <v>291</v>
      </c>
      <c r="AD11" s="20">
        <v>20</v>
      </c>
      <c r="AF11" s="70">
        <v>42561</v>
      </c>
      <c r="AG11" t="s">
        <v>331</v>
      </c>
      <c r="AH11" s="100">
        <v>14.6</v>
      </c>
    </row>
    <row r="12" spans="2:34" x14ac:dyDescent="0.2">
      <c r="B12" s="40" t="s">
        <v>37</v>
      </c>
      <c r="C12" s="41">
        <v>380.3</v>
      </c>
      <c r="D12" s="41">
        <v>379.7</v>
      </c>
      <c r="F12" s="62" t="s">
        <v>53</v>
      </c>
      <c r="G12" s="6">
        <f>+(77.37+76.76)/5</f>
        <v>30.826000000000001</v>
      </c>
      <c r="H12" s="21"/>
      <c r="I12" s="21" t="s">
        <v>61</v>
      </c>
      <c r="J12" s="33">
        <f>R8</f>
        <v>145.30000000000001</v>
      </c>
      <c r="L12" s="70">
        <v>42575</v>
      </c>
      <c r="M12" t="s">
        <v>140</v>
      </c>
      <c r="N12" s="100">
        <v>35.71</v>
      </c>
      <c r="P12" s="70">
        <v>42559</v>
      </c>
      <c r="Q12" t="s">
        <v>328</v>
      </c>
      <c r="R12" s="20">
        <v>30.57</v>
      </c>
      <c r="T12" s="70">
        <v>42554</v>
      </c>
      <c r="U12" t="s">
        <v>324</v>
      </c>
      <c r="V12" s="20">
        <v>11.91</v>
      </c>
      <c r="X12" s="70">
        <v>42554</v>
      </c>
      <c r="Y12" t="s">
        <v>323</v>
      </c>
      <c r="Z12" s="100">
        <v>17.86</v>
      </c>
      <c r="AB12" s="70">
        <v>42553</v>
      </c>
      <c r="AC12" t="s">
        <v>131</v>
      </c>
      <c r="AD12" s="20">
        <v>2.35</v>
      </c>
      <c r="AF12" s="70">
        <v>42563</v>
      </c>
      <c r="AG12" t="s">
        <v>332</v>
      </c>
      <c r="AH12" s="20">
        <v>16.5</v>
      </c>
    </row>
    <row r="13" spans="2:34" x14ac:dyDescent="0.2">
      <c r="B13" s="40" t="s">
        <v>35</v>
      </c>
      <c r="C13" s="41">
        <v>160.71</v>
      </c>
      <c r="D13" s="41">
        <v>160.56</v>
      </c>
      <c r="F13" s="62" t="s">
        <v>54</v>
      </c>
      <c r="G13" s="6">
        <f>124.2-111.6</f>
        <v>12.600000000000009</v>
      </c>
      <c r="H13" s="21"/>
      <c r="I13" s="21" t="s">
        <v>68</v>
      </c>
      <c r="J13" s="33">
        <f>V8</f>
        <v>252.45</v>
      </c>
      <c r="L13" s="70">
        <v>42581</v>
      </c>
      <c r="M13" t="s">
        <v>358</v>
      </c>
      <c r="N13" s="20">
        <v>30</v>
      </c>
      <c r="P13" s="70">
        <v>42567</v>
      </c>
      <c r="Q13" t="s">
        <v>335</v>
      </c>
      <c r="R13" s="20">
        <v>20</v>
      </c>
      <c r="T13" s="70">
        <v>42555</v>
      </c>
      <c r="U13" t="s">
        <v>209</v>
      </c>
      <c r="V13" s="100">
        <v>14.46</v>
      </c>
      <c r="X13" s="70">
        <v>42554</v>
      </c>
      <c r="Y13" t="s">
        <v>128</v>
      </c>
      <c r="Z13" s="20">
        <v>24.9</v>
      </c>
      <c r="AB13" s="70">
        <v>42561</v>
      </c>
      <c r="AC13" t="s">
        <v>330</v>
      </c>
      <c r="AD13" s="100">
        <v>34.619999999999997</v>
      </c>
      <c r="AF13" s="70">
        <v>42564</v>
      </c>
      <c r="AG13" t="s">
        <v>333</v>
      </c>
      <c r="AH13" s="100">
        <v>35.71</v>
      </c>
    </row>
    <row r="14" spans="2:34" x14ac:dyDescent="0.2">
      <c r="B14" s="40" t="s">
        <v>36</v>
      </c>
      <c r="C14" s="41">
        <v>37.590000000000003</v>
      </c>
      <c r="D14" s="41">
        <v>37.549999999999997</v>
      </c>
      <c r="F14" s="62" t="s">
        <v>55</v>
      </c>
      <c r="G14" s="103">
        <v>0</v>
      </c>
      <c r="H14" s="21"/>
      <c r="I14" s="21" t="s">
        <v>69</v>
      </c>
      <c r="J14" s="33">
        <f>Z8</f>
        <v>226.68</v>
      </c>
      <c r="P14" s="70">
        <v>42569</v>
      </c>
      <c r="Q14" t="s">
        <v>119</v>
      </c>
      <c r="R14" s="100">
        <v>24.72</v>
      </c>
      <c r="T14" s="70">
        <v>42556</v>
      </c>
      <c r="U14" t="s">
        <v>325</v>
      </c>
      <c r="V14" s="100">
        <v>16.350000000000001</v>
      </c>
      <c r="X14" s="70">
        <v>42555</v>
      </c>
      <c r="Y14" t="s">
        <v>322</v>
      </c>
      <c r="Z14" s="20">
        <v>8.11</v>
      </c>
      <c r="AB14" s="70">
        <v>42573</v>
      </c>
      <c r="AC14" t="s">
        <v>291</v>
      </c>
      <c r="AD14" s="20">
        <v>20</v>
      </c>
      <c r="AF14" s="70">
        <v>42566</v>
      </c>
      <c r="AG14" t="s">
        <v>338</v>
      </c>
      <c r="AH14" s="20">
        <v>8.7100000000000009</v>
      </c>
    </row>
    <row r="15" spans="2:34" x14ac:dyDescent="0.2">
      <c r="B15" s="42" t="s">
        <v>39</v>
      </c>
      <c r="C15" s="22">
        <f>SUM(C12:C14)</f>
        <v>578.6</v>
      </c>
      <c r="D15" s="43">
        <f>SUM(D12:D14)</f>
        <v>577.80999999999995</v>
      </c>
      <c r="F15" s="63" t="s">
        <v>56</v>
      </c>
      <c r="G15" s="104">
        <f>SUM(G11:G14)</f>
        <v>124.20399999999999</v>
      </c>
      <c r="H15" s="21"/>
      <c r="I15" s="21" t="s">
        <v>70</v>
      </c>
      <c r="J15" s="33">
        <f>AD8</f>
        <v>79.88</v>
      </c>
      <c r="P15" s="70">
        <v>42575</v>
      </c>
      <c r="Q15" t="s">
        <v>119</v>
      </c>
      <c r="R15" s="100">
        <v>1.8</v>
      </c>
      <c r="T15" s="70">
        <v>42561</v>
      </c>
      <c r="U15" t="s">
        <v>326</v>
      </c>
      <c r="V15" s="100">
        <v>30.63</v>
      </c>
      <c r="X15" s="70">
        <v>42555</v>
      </c>
      <c r="Y15" t="s">
        <v>322</v>
      </c>
      <c r="Z15" s="100">
        <v>6.5</v>
      </c>
      <c r="AB15" s="70">
        <v>42574</v>
      </c>
      <c r="AC15" t="s">
        <v>131</v>
      </c>
      <c r="AD15" s="20">
        <v>1.61</v>
      </c>
      <c r="AF15" s="70">
        <v>42568</v>
      </c>
      <c r="AG15" t="s">
        <v>336</v>
      </c>
      <c r="AH15" s="100">
        <v>99.99</v>
      </c>
    </row>
    <row r="16" spans="2:34" ht="16" thickBot="1" x14ac:dyDescent="0.25">
      <c r="B16" s="40" t="s">
        <v>40</v>
      </c>
      <c r="C16" s="24">
        <f>C15/C8</f>
        <v>0.22342528806647927</v>
      </c>
      <c r="D16" s="44">
        <f>D15/D8</f>
        <v>0.22312023107102036</v>
      </c>
      <c r="F16" s="32"/>
      <c r="G16" s="6"/>
      <c r="H16" s="21"/>
      <c r="I16" s="21" t="s">
        <v>71</v>
      </c>
      <c r="J16" s="33">
        <f>AH8</f>
        <v>409.42999999999995</v>
      </c>
      <c r="P16" s="70">
        <v>42576</v>
      </c>
      <c r="Q16" t="s">
        <v>351</v>
      </c>
      <c r="R16" s="20">
        <v>5.97</v>
      </c>
      <c r="T16" s="70">
        <v>42561</v>
      </c>
      <c r="U16" t="s">
        <v>151</v>
      </c>
      <c r="V16" s="100">
        <v>14.06</v>
      </c>
      <c r="X16" s="70">
        <v>42560</v>
      </c>
      <c r="Y16" t="s">
        <v>143</v>
      </c>
      <c r="Z16" s="20">
        <v>18.43</v>
      </c>
      <c r="AF16" s="70">
        <v>42568</v>
      </c>
      <c r="AG16" t="s">
        <v>339</v>
      </c>
      <c r="AH16" s="100">
        <f>14.08+8.75</f>
        <v>22.83</v>
      </c>
    </row>
    <row r="17" spans="2:34" ht="16" thickBot="1" x14ac:dyDescent="0.25">
      <c r="B17" s="40"/>
      <c r="C17" s="24"/>
      <c r="D17" s="45">
        <f>SUM(C15:D15)</f>
        <v>1156.4099999999999</v>
      </c>
      <c r="F17" s="65" t="s">
        <v>63</v>
      </c>
      <c r="G17" s="6"/>
      <c r="H17" s="21"/>
      <c r="I17" s="77" t="s">
        <v>94</v>
      </c>
      <c r="J17" s="33">
        <f>0.77+1.89+4.42+3.86</f>
        <v>10.94</v>
      </c>
      <c r="P17" s="70">
        <v>42582</v>
      </c>
      <c r="Q17" t="s">
        <v>119</v>
      </c>
      <c r="R17" s="20">
        <v>28.25</v>
      </c>
      <c r="T17" s="70">
        <v>42560</v>
      </c>
      <c r="U17" t="s">
        <v>329</v>
      </c>
      <c r="V17" s="100">
        <v>2.25</v>
      </c>
      <c r="X17" s="70">
        <v>42567</v>
      </c>
      <c r="Y17" t="s">
        <v>191</v>
      </c>
      <c r="Z17" s="20">
        <v>14.51</v>
      </c>
      <c r="AF17" s="70">
        <v>42570</v>
      </c>
      <c r="AG17" t="s">
        <v>340</v>
      </c>
      <c r="AH17" s="100">
        <v>120</v>
      </c>
    </row>
    <row r="18" spans="2:34" x14ac:dyDescent="0.2">
      <c r="B18" s="46"/>
      <c r="C18" s="47"/>
      <c r="D18" s="48">
        <f>D17/D9</f>
        <v>0.22327275956874978</v>
      </c>
      <c r="F18" s="32" t="s">
        <v>101</v>
      </c>
      <c r="G18" s="103">
        <v>497.3</v>
      </c>
      <c r="H18" s="21"/>
      <c r="I18" s="77" t="s">
        <v>102</v>
      </c>
      <c r="J18" s="33">
        <f>SUM(J33)</f>
        <v>25.74</v>
      </c>
      <c r="T18" s="70">
        <v>42564</v>
      </c>
      <c r="U18" t="s">
        <v>334</v>
      </c>
      <c r="V18" s="100">
        <v>31.52</v>
      </c>
      <c r="X18" s="70">
        <v>42567</v>
      </c>
      <c r="Y18" t="s">
        <v>304</v>
      </c>
      <c r="Z18" s="20">
        <v>18.25</v>
      </c>
      <c r="AF18" s="70">
        <v>42571</v>
      </c>
      <c r="AG18" t="s">
        <v>341</v>
      </c>
      <c r="AH18" s="100">
        <v>26</v>
      </c>
    </row>
    <row r="19" spans="2:34" x14ac:dyDescent="0.2">
      <c r="F19" s="32" t="s">
        <v>57</v>
      </c>
      <c r="G19" s="103">
        <v>300</v>
      </c>
      <c r="H19" s="21"/>
      <c r="I19" s="55" t="s">
        <v>72</v>
      </c>
      <c r="J19" s="64">
        <f>SUM(J11:J18)</f>
        <v>1280.8300000000002</v>
      </c>
      <c r="T19" s="70">
        <v>42565</v>
      </c>
      <c r="U19" t="s">
        <v>156</v>
      </c>
      <c r="V19" s="20">
        <v>6.48</v>
      </c>
      <c r="X19" s="70">
        <v>42573</v>
      </c>
      <c r="Y19" t="s">
        <v>173</v>
      </c>
      <c r="Z19" s="20">
        <v>13</v>
      </c>
      <c r="AF19" s="70">
        <v>42571</v>
      </c>
      <c r="AG19" t="s">
        <v>342</v>
      </c>
      <c r="AH19" s="100">
        <v>20.97</v>
      </c>
    </row>
    <row r="20" spans="2:34" ht="16" thickBot="1" x14ac:dyDescent="0.25">
      <c r="B20" s="29" t="s">
        <v>42</v>
      </c>
      <c r="C20" s="38"/>
      <c r="D20" s="39"/>
      <c r="F20" s="32" t="s">
        <v>58</v>
      </c>
      <c r="G20" s="103">
        <v>90</v>
      </c>
      <c r="H20" s="21"/>
      <c r="I20" s="21"/>
      <c r="J20" s="33"/>
      <c r="T20" s="70">
        <v>42565</v>
      </c>
      <c r="U20" t="s">
        <v>337</v>
      </c>
      <c r="V20" s="20">
        <v>2.68</v>
      </c>
      <c r="X20" s="70">
        <v>42574</v>
      </c>
      <c r="Y20" t="s">
        <v>146</v>
      </c>
      <c r="Z20" s="100">
        <v>15.14</v>
      </c>
      <c r="AF20" s="70">
        <v>42575</v>
      </c>
      <c r="AG20" t="s">
        <v>348</v>
      </c>
      <c r="AH20" s="100">
        <v>3.25</v>
      </c>
    </row>
    <row r="21" spans="2:34" ht="16" thickBot="1" x14ac:dyDescent="0.25">
      <c r="B21" s="40" t="s">
        <v>43</v>
      </c>
      <c r="C21" s="33">
        <f>0.06*C6</f>
        <v>155.38079999999999</v>
      </c>
      <c r="D21" s="33">
        <f>0.08*D6</f>
        <v>207.17439999999999</v>
      </c>
      <c r="F21" s="32" t="s">
        <v>91</v>
      </c>
      <c r="G21" s="6">
        <v>80</v>
      </c>
      <c r="H21" s="21"/>
      <c r="I21" s="56" t="s">
        <v>73</v>
      </c>
      <c r="J21" s="106">
        <f>SUM(G26,J19)</f>
        <v>3086.384</v>
      </c>
      <c r="T21" s="70">
        <v>42574</v>
      </c>
      <c r="U21" t="s">
        <v>241</v>
      </c>
      <c r="V21" s="100">
        <v>28.19</v>
      </c>
      <c r="X21" s="70">
        <v>42574</v>
      </c>
      <c r="Y21" t="s">
        <v>344</v>
      </c>
      <c r="Z21" s="20">
        <v>17.989999999999998</v>
      </c>
      <c r="AF21" s="70">
        <v>42577</v>
      </c>
      <c r="AG21" t="s">
        <v>350</v>
      </c>
      <c r="AH21" s="20">
        <v>21.63</v>
      </c>
    </row>
    <row r="22" spans="2:34" x14ac:dyDescent="0.2">
      <c r="B22" s="40" t="s">
        <v>44</v>
      </c>
      <c r="C22" s="33">
        <f>0.04*C6</f>
        <v>103.5872</v>
      </c>
      <c r="D22" s="33">
        <f>0.04*D6</f>
        <v>103.5872</v>
      </c>
      <c r="F22" s="32" t="s">
        <v>59</v>
      </c>
      <c r="G22" s="6">
        <v>0</v>
      </c>
      <c r="H22" s="21"/>
      <c r="I22" s="21"/>
      <c r="J22" s="60"/>
      <c r="T22" s="70">
        <v>42574</v>
      </c>
      <c r="U22" t="s">
        <v>179</v>
      </c>
      <c r="V22" s="100">
        <v>7.85</v>
      </c>
      <c r="X22" s="70">
        <v>42574</v>
      </c>
      <c r="Y22" t="s">
        <v>345</v>
      </c>
      <c r="Z22" s="20">
        <v>15</v>
      </c>
      <c r="AF22" s="70">
        <v>42581</v>
      </c>
      <c r="AG22" t="s">
        <v>329</v>
      </c>
      <c r="AH22" s="20">
        <v>4.25</v>
      </c>
    </row>
    <row r="23" spans="2:34" x14ac:dyDescent="0.2">
      <c r="B23" s="42" t="s">
        <v>45</v>
      </c>
      <c r="C23" s="23">
        <f>SUM(C21:C22)</f>
        <v>258.96799999999996</v>
      </c>
      <c r="D23" s="49">
        <f>SUM(D21:D22)</f>
        <v>310.76159999999999</v>
      </c>
      <c r="F23" s="32" t="s">
        <v>60</v>
      </c>
      <c r="G23" s="6">
        <v>5.4</v>
      </c>
      <c r="H23" s="21"/>
      <c r="I23" s="21"/>
      <c r="J23" s="60"/>
      <c r="T23" s="70">
        <v>42575</v>
      </c>
      <c r="U23" t="s">
        <v>347</v>
      </c>
      <c r="V23" s="100">
        <v>15.54</v>
      </c>
      <c r="X23" s="70">
        <v>42575</v>
      </c>
      <c r="Y23" t="s">
        <v>346</v>
      </c>
      <c r="Z23" s="100">
        <v>30</v>
      </c>
    </row>
    <row r="24" spans="2:34" ht="16" thickBot="1" x14ac:dyDescent="0.25">
      <c r="B24" s="32"/>
      <c r="C24" s="50">
        <f>C23/C6</f>
        <v>9.9999999999999992E-2</v>
      </c>
      <c r="D24" s="51">
        <f>D23/D6</f>
        <v>0.12000000000000001</v>
      </c>
      <c r="F24" s="36" t="s">
        <v>95</v>
      </c>
      <c r="G24" s="103">
        <v>8.65</v>
      </c>
      <c r="H24" s="21"/>
      <c r="I24" s="21"/>
      <c r="J24" s="60"/>
      <c r="T24" s="70">
        <v>42575</v>
      </c>
      <c r="U24" t="s">
        <v>161</v>
      </c>
      <c r="V24" s="100">
        <v>8.65</v>
      </c>
    </row>
    <row r="25" spans="2:34" ht="16" thickBot="1" x14ac:dyDescent="0.25">
      <c r="B25" s="32"/>
      <c r="C25" s="21"/>
      <c r="D25" s="52">
        <f>SUM(C23:D23)</f>
        <v>569.72959999999989</v>
      </c>
      <c r="F25" s="66" t="s">
        <v>65</v>
      </c>
      <c r="G25" s="54">
        <f>SUM(G18:G24)</f>
        <v>981.34999999999991</v>
      </c>
      <c r="H25" s="21"/>
      <c r="I25" s="21"/>
      <c r="J25" s="60"/>
      <c r="T25" s="70">
        <v>42578</v>
      </c>
      <c r="U25" t="s">
        <v>349</v>
      </c>
      <c r="V25" s="100">
        <v>16.100000000000001</v>
      </c>
    </row>
    <row r="26" spans="2:34" x14ac:dyDescent="0.2">
      <c r="B26" s="36"/>
      <c r="C26" s="19"/>
      <c r="D26" s="53">
        <f>D25/SUM(C6:D6)</f>
        <v>0.10999999999999999</v>
      </c>
      <c r="F26" s="107" t="s">
        <v>64</v>
      </c>
      <c r="G26" s="108">
        <f>SUM(G8,G15,G25)</f>
        <v>1805.5539999999999</v>
      </c>
      <c r="H26" s="19"/>
      <c r="I26" s="19"/>
      <c r="J26" s="67"/>
      <c r="T26" s="70">
        <v>42580</v>
      </c>
      <c r="U26" t="s">
        <v>357</v>
      </c>
      <c r="V26" s="20">
        <v>20.239999999999998</v>
      </c>
    </row>
    <row r="27" spans="2:34" ht="16" thickBot="1" x14ac:dyDescent="0.25"/>
    <row r="28" spans="2:34" ht="16" thickBot="1" x14ac:dyDescent="0.25">
      <c r="B28" s="25" t="s">
        <v>46</v>
      </c>
      <c r="C28" s="26">
        <f>C8-C15-C23</f>
        <v>1752.1120000000001</v>
      </c>
      <c r="D28" s="27">
        <f>D8-D15-D23</f>
        <v>1701.1083999999998</v>
      </c>
      <c r="I28" s="25" t="s">
        <v>74</v>
      </c>
      <c r="J28" s="68">
        <f>G5-J21</f>
        <v>19560.9064</v>
      </c>
    </row>
    <row r="29" spans="2:34" ht="16" thickBot="1" x14ac:dyDescent="0.25">
      <c r="D29" s="28">
        <f>SUM(C28:D28)</f>
        <v>3453.2204000000002</v>
      </c>
    </row>
    <row r="30" spans="2:34" x14ac:dyDescent="0.2">
      <c r="I30" t="s">
        <v>100</v>
      </c>
      <c r="J30" s="20">
        <f>J28-G2</f>
        <v>525.81639999999607</v>
      </c>
    </row>
    <row r="32" spans="2:34" x14ac:dyDescent="0.2">
      <c r="I32" t="s">
        <v>102</v>
      </c>
      <c r="J32" s="20"/>
    </row>
    <row r="33" spans="9:10" x14ac:dyDescent="0.2">
      <c r="I33" t="s">
        <v>321</v>
      </c>
      <c r="J33" s="100">
        <f>13.7-6+18.04</f>
        <v>25.74</v>
      </c>
    </row>
    <row r="35" spans="9:10" x14ac:dyDescent="0.2">
      <c r="J35" s="20"/>
    </row>
    <row r="36" spans="9:10" x14ac:dyDescent="0.2">
      <c r="J36" s="20"/>
    </row>
  </sheetData>
  <mergeCells count="19">
    <mergeCell ref="AF4:AG4"/>
    <mergeCell ref="L4:M4"/>
    <mergeCell ref="P4:Q4"/>
    <mergeCell ref="T4:U4"/>
    <mergeCell ref="X4:Y4"/>
    <mergeCell ref="AB4:AC4"/>
    <mergeCell ref="AF7:AG7"/>
    <mergeCell ref="L8:M8"/>
    <mergeCell ref="P8:Q8"/>
    <mergeCell ref="T8:U8"/>
    <mergeCell ref="X8:Y8"/>
    <mergeCell ref="AB8:AC8"/>
    <mergeCell ref="AF8:AG8"/>
    <mergeCell ref="AB7:AC7"/>
    <mergeCell ref="L6:M6"/>
    <mergeCell ref="L7:M7"/>
    <mergeCell ref="P7:Q7"/>
    <mergeCell ref="T7:U7"/>
    <mergeCell ref="X7:Y7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H40"/>
  <sheetViews>
    <sheetView zoomScale="90" zoomScaleNormal="90" zoomScalePageLayoutView="90" workbookViewId="0">
      <selection activeCell="I32" sqref="I32:J35"/>
    </sheetView>
  </sheetViews>
  <sheetFormatPr baseColWidth="10" defaultColWidth="8.83203125" defaultRowHeight="15" x14ac:dyDescent="0.2"/>
  <cols>
    <col min="1" max="1" width="1.83203125" customWidth="1"/>
    <col min="2" max="2" width="24.5" bestFit="1" customWidth="1"/>
    <col min="3" max="4" width="14.6640625" customWidth="1"/>
    <col min="5" max="5" width="3.6640625" customWidth="1"/>
    <col min="6" max="6" width="25.83203125" bestFit="1" customWidth="1"/>
    <col min="7" max="7" width="14.6640625" style="3" customWidth="1"/>
    <col min="8" max="8" width="3.5" customWidth="1"/>
    <col min="9" max="9" width="25.5" bestFit="1" customWidth="1"/>
    <col min="10" max="10" width="12.1640625" bestFit="1" customWidth="1"/>
    <col min="11" max="11" width="3.6640625" customWidth="1"/>
    <col min="12" max="12" width="11.5" style="70" customWidth="1"/>
    <col min="13" max="13" width="18.1640625" bestFit="1" customWidth="1"/>
    <col min="14" max="14" width="8.83203125" style="20"/>
    <col min="15" max="15" width="2.6640625" customWidth="1"/>
    <col min="16" max="16" width="11.5" style="70" customWidth="1"/>
    <col min="17" max="17" width="11.33203125" bestFit="1" customWidth="1"/>
    <col min="18" max="18" width="8.83203125" style="20"/>
    <col min="19" max="19" width="2.6640625" customWidth="1"/>
    <col min="20" max="20" width="11.5" style="70" customWidth="1"/>
    <col min="21" max="21" width="17.6640625" bestFit="1" customWidth="1"/>
    <col min="22" max="22" width="10.1640625" style="20" bestFit="1" customWidth="1"/>
    <col min="23" max="23" width="2.6640625" customWidth="1"/>
    <col min="24" max="24" width="11.5" style="70" customWidth="1"/>
    <col min="25" max="25" width="21" bestFit="1" customWidth="1"/>
    <col min="26" max="26" width="10.1640625" style="20" bestFit="1" customWidth="1"/>
    <col min="27" max="27" width="2.6640625" customWidth="1"/>
    <col min="28" max="28" width="11.5" style="70" customWidth="1"/>
    <col min="29" max="29" width="19.1640625" bestFit="1" customWidth="1"/>
    <col min="30" max="30" width="8.83203125" style="20"/>
    <col min="31" max="31" width="2.6640625" customWidth="1"/>
    <col min="32" max="32" width="11.5" style="70" customWidth="1"/>
    <col min="33" max="33" width="25" bestFit="1" customWidth="1"/>
    <col min="34" max="34" width="10.1640625" style="20" bestFit="1" customWidth="1"/>
  </cols>
  <sheetData>
    <row r="1" spans="2:34" ht="10.5" customHeight="1" thickBot="1" x14ac:dyDescent="0.25"/>
    <row r="2" spans="2:34" ht="16" thickBot="1" x14ac:dyDescent="0.25">
      <c r="B2" s="16" t="s">
        <v>352</v>
      </c>
      <c r="F2" t="s">
        <v>47</v>
      </c>
      <c r="G2" s="3">
        <f>Jul!J28</f>
        <v>19560.9064</v>
      </c>
      <c r="I2" s="20"/>
    </row>
    <row r="3" spans="2:34" x14ac:dyDescent="0.2">
      <c r="B3" s="21" t="s">
        <v>38</v>
      </c>
      <c r="C3" s="20">
        <f>C6*24</f>
        <v>62152.319999999992</v>
      </c>
      <c r="F3" s="105" t="s">
        <v>46</v>
      </c>
      <c r="G3" s="15">
        <f>D29</f>
        <v>3401.4367999999995</v>
      </c>
    </row>
    <row r="4" spans="2:34" x14ac:dyDescent="0.2">
      <c r="F4" t="s">
        <v>48</v>
      </c>
      <c r="G4" s="3">
        <f>0.01-1321</f>
        <v>-1320.99</v>
      </c>
      <c r="I4" t="s">
        <v>112</v>
      </c>
      <c r="J4" s="20">
        <f>SUM(N4,R4,V4,Z4,AD4,AH4)</f>
        <v>-634.38</v>
      </c>
      <c r="L4" s="134" t="s">
        <v>105</v>
      </c>
      <c r="M4" s="134"/>
      <c r="N4" s="20">
        <f>150-N8</f>
        <v>-69.289999999999964</v>
      </c>
      <c r="P4" s="134" t="s">
        <v>106</v>
      </c>
      <c r="Q4" s="134"/>
      <c r="R4" s="20">
        <f>100-R8</f>
        <v>62.89</v>
      </c>
      <c r="T4" s="134" t="s">
        <v>107</v>
      </c>
      <c r="U4" s="134"/>
      <c r="V4" s="20">
        <f>200-V8</f>
        <v>-119.64999999999998</v>
      </c>
      <c r="X4" s="134" t="s">
        <v>108</v>
      </c>
      <c r="Y4" s="134"/>
      <c r="Z4" s="20">
        <f>150-Z8</f>
        <v>-144.33000000000004</v>
      </c>
      <c r="AB4" s="134" t="s">
        <v>109</v>
      </c>
      <c r="AC4" s="134"/>
      <c r="AD4" s="20">
        <f>100-AD8</f>
        <v>-10.129999999999995</v>
      </c>
      <c r="AF4" s="134" t="s">
        <v>110</v>
      </c>
      <c r="AG4" s="134"/>
      <c r="AH4" s="20">
        <f>300-AH8</f>
        <v>-353.87</v>
      </c>
    </row>
    <row r="5" spans="2:34" ht="16" thickBot="1" x14ac:dyDescent="0.25">
      <c r="B5" s="29" t="s">
        <v>15</v>
      </c>
      <c r="C5" s="30" t="s">
        <v>31</v>
      </c>
      <c r="D5" s="31" t="s">
        <v>32</v>
      </c>
      <c r="F5" s="105" t="s">
        <v>49</v>
      </c>
      <c r="G5" s="15">
        <f>SUM(G2:G4)</f>
        <v>21641.353199999998</v>
      </c>
    </row>
    <row r="6" spans="2:34" ht="16" thickBot="1" x14ac:dyDescent="0.25">
      <c r="B6" s="32" t="s">
        <v>33</v>
      </c>
      <c r="C6" s="103">
        <v>2589.6799999999998</v>
      </c>
      <c r="D6" s="33">
        <v>2589.6799999999998</v>
      </c>
      <c r="L6" s="130" t="s">
        <v>77</v>
      </c>
      <c r="M6" s="130"/>
      <c r="N6" s="72"/>
      <c r="O6" s="17"/>
      <c r="P6" s="73"/>
      <c r="Q6" s="17"/>
      <c r="R6" s="72"/>
      <c r="S6" s="17"/>
      <c r="T6" s="73"/>
      <c r="U6" s="17"/>
      <c r="V6" s="72"/>
      <c r="W6" s="17"/>
      <c r="X6" s="73"/>
      <c r="Y6" s="17"/>
      <c r="Z6" s="72"/>
      <c r="AA6" s="17"/>
      <c r="AB6" s="73"/>
      <c r="AC6" s="17"/>
      <c r="AD6" s="72"/>
      <c r="AE6" s="17"/>
      <c r="AF6" s="73"/>
      <c r="AG6" s="17"/>
      <c r="AH6" s="72"/>
    </row>
    <row r="7" spans="2:34" ht="16" thickBot="1" x14ac:dyDescent="0.25">
      <c r="B7" s="32" t="s">
        <v>34</v>
      </c>
      <c r="C7" s="6">
        <v>0</v>
      </c>
      <c r="D7" s="33">
        <v>0</v>
      </c>
      <c r="F7" s="57" t="s">
        <v>50</v>
      </c>
      <c r="G7" s="58"/>
      <c r="H7" s="38"/>
      <c r="I7" s="38"/>
      <c r="J7" s="39"/>
      <c r="L7" s="131" t="s">
        <v>62</v>
      </c>
      <c r="M7" s="131"/>
      <c r="P7" s="132" t="s">
        <v>61</v>
      </c>
      <c r="Q7" s="132"/>
      <c r="T7" s="132" t="s">
        <v>68</v>
      </c>
      <c r="U7" s="132"/>
      <c r="X7" s="132" t="s">
        <v>69</v>
      </c>
      <c r="Y7" s="132"/>
      <c r="AB7" s="132" t="s">
        <v>81</v>
      </c>
      <c r="AC7" s="132"/>
      <c r="AF7" s="132" t="s">
        <v>111</v>
      </c>
      <c r="AG7" s="132"/>
    </row>
    <row r="8" spans="2:34" ht="16" thickBot="1" x14ac:dyDescent="0.25">
      <c r="B8" s="34" t="s">
        <v>66</v>
      </c>
      <c r="C8" s="18">
        <f>C6+C7</f>
        <v>2589.6799999999998</v>
      </c>
      <c r="D8" s="35">
        <f>D6+D7</f>
        <v>2589.6799999999998</v>
      </c>
      <c r="F8" s="59" t="s">
        <v>90</v>
      </c>
      <c r="G8" s="104">
        <v>700</v>
      </c>
      <c r="H8" s="21"/>
      <c r="I8" s="21"/>
      <c r="J8" s="60"/>
      <c r="L8" s="133" t="s">
        <v>82</v>
      </c>
      <c r="M8" s="133"/>
      <c r="N8" s="71">
        <f>SUM(N10:N50)</f>
        <v>219.28999999999996</v>
      </c>
      <c r="P8" s="133" t="s">
        <v>82</v>
      </c>
      <c r="Q8" s="133"/>
      <c r="R8" s="71">
        <f>SUM(R10:R50)</f>
        <v>37.11</v>
      </c>
      <c r="T8" s="133" t="s">
        <v>82</v>
      </c>
      <c r="U8" s="133"/>
      <c r="V8" s="71">
        <f>SUM(V10:V50)</f>
        <v>319.64999999999998</v>
      </c>
      <c r="X8" s="133" t="s">
        <v>82</v>
      </c>
      <c r="Y8" s="133"/>
      <c r="Z8" s="71">
        <f>SUM(Z10:Z50)</f>
        <v>294.33000000000004</v>
      </c>
      <c r="AB8" s="133" t="s">
        <v>82</v>
      </c>
      <c r="AC8" s="133"/>
      <c r="AD8" s="71">
        <f>SUM(AD10:AD50)</f>
        <v>110.13</v>
      </c>
      <c r="AF8" s="133" t="s">
        <v>82</v>
      </c>
      <c r="AG8" s="133"/>
      <c r="AH8" s="71">
        <f>SUM(AH10:AH50)</f>
        <v>653.87</v>
      </c>
    </row>
    <row r="9" spans="2:34" x14ac:dyDescent="0.2">
      <c r="B9" s="36"/>
      <c r="C9" s="19"/>
      <c r="D9" s="37">
        <f>SUM(C8:D8)</f>
        <v>5179.3599999999997</v>
      </c>
      <c r="F9" s="32"/>
      <c r="G9" s="6"/>
      <c r="H9" s="21"/>
      <c r="I9" s="21"/>
      <c r="J9" s="60"/>
      <c r="L9" s="74" t="s">
        <v>78</v>
      </c>
      <c r="M9" s="19" t="s">
        <v>79</v>
      </c>
      <c r="N9" s="75" t="s">
        <v>80</v>
      </c>
      <c r="P9" s="74" t="s">
        <v>78</v>
      </c>
      <c r="Q9" s="19" t="s">
        <v>79</v>
      </c>
      <c r="R9" s="75" t="s">
        <v>80</v>
      </c>
      <c r="T9" s="74" t="s">
        <v>78</v>
      </c>
      <c r="U9" s="19" t="s">
        <v>79</v>
      </c>
      <c r="V9" s="75" t="s">
        <v>80</v>
      </c>
      <c r="X9" s="74" t="s">
        <v>78</v>
      </c>
      <c r="Y9" s="19" t="s">
        <v>79</v>
      </c>
      <c r="Z9" s="75" t="s">
        <v>80</v>
      </c>
      <c r="AB9" s="74" t="s">
        <v>78</v>
      </c>
      <c r="AC9" s="19" t="s">
        <v>79</v>
      </c>
      <c r="AD9" s="75" t="s">
        <v>80</v>
      </c>
      <c r="AF9" s="74" t="s">
        <v>78</v>
      </c>
      <c r="AG9" s="19" t="s">
        <v>79</v>
      </c>
      <c r="AH9" s="75" t="s">
        <v>80</v>
      </c>
    </row>
    <row r="10" spans="2:34" ht="16" thickBot="1" x14ac:dyDescent="0.25">
      <c r="F10" s="61" t="s">
        <v>51</v>
      </c>
      <c r="G10" s="6"/>
      <c r="H10" s="21"/>
      <c r="I10" s="17" t="s">
        <v>67</v>
      </c>
      <c r="J10" s="60"/>
      <c r="L10" s="70">
        <v>42587</v>
      </c>
      <c r="M10" t="s">
        <v>358</v>
      </c>
      <c r="N10" s="100">
        <v>36.61</v>
      </c>
      <c r="P10" s="70">
        <v>42586</v>
      </c>
      <c r="Q10" t="s">
        <v>119</v>
      </c>
      <c r="R10" s="100">
        <v>12.44</v>
      </c>
      <c r="T10" s="70">
        <v>42583</v>
      </c>
      <c r="U10" t="s">
        <v>116</v>
      </c>
      <c r="V10" s="127"/>
      <c r="X10" s="70">
        <v>42585</v>
      </c>
      <c r="Y10" t="s">
        <v>157</v>
      </c>
      <c r="Z10" s="20">
        <v>11.65</v>
      </c>
      <c r="AB10" s="70">
        <v>42584</v>
      </c>
      <c r="AC10" t="s">
        <v>371</v>
      </c>
      <c r="AD10" s="20">
        <v>4.8499999999999996</v>
      </c>
      <c r="AF10" s="70">
        <v>42583</v>
      </c>
      <c r="AG10" t="s">
        <v>359</v>
      </c>
      <c r="AH10" s="100">
        <v>297.67</v>
      </c>
    </row>
    <row r="11" spans="2:34" ht="16" thickBot="1" x14ac:dyDescent="0.25">
      <c r="B11" s="29" t="s">
        <v>41</v>
      </c>
      <c r="C11" s="38"/>
      <c r="D11" s="39"/>
      <c r="F11" s="62" t="s">
        <v>52</v>
      </c>
      <c r="G11" s="6">
        <f>433.57/5</f>
        <v>86.713999999999999</v>
      </c>
      <c r="H11" s="21"/>
      <c r="I11" s="21" t="s">
        <v>62</v>
      </c>
      <c r="J11" s="33">
        <f>N8</f>
        <v>219.28999999999996</v>
      </c>
      <c r="L11" s="70">
        <v>42589</v>
      </c>
      <c r="M11" t="s">
        <v>122</v>
      </c>
      <c r="N11" s="100">
        <v>39.369999999999997</v>
      </c>
      <c r="P11" s="70">
        <v>42603</v>
      </c>
      <c r="Q11" t="s">
        <v>119</v>
      </c>
      <c r="R11" s="100">
        <f>19.22</f>
        <v>19.22</v>
      </c>
      <c r="T11" s="70">
        <v>42587</v>
      </c>
      <c r="U11" t="s">
        <v>156</v>
      </c>
      <c r="V11" s="100">
        <v>8.49</v>
      </c>
      <c r="X11" s="70">
        <v>42587</v>
      </c>
      <c r="Y11" t="s">
        <v>361</v>
      </c>
      <c r="Z11" s="20">
        <v>8.75</v>
      </c>
      <c r="AB11" s="70">
        <v>42589</v>
      </c>
      <c r="AC11" t="s">
        <v>367</v>
      </c>
      <c r="AD11" s="20">
        <v>3.12</v>
      </c>
      <c r="AF11" s="70">
        <v>42588</v>
      </c>
      <c r="AG11" t="s">
        <v>145</v>
      </c>
      <c r="AH11" s="20">
        <v>2.02</v>
      </c>
    </row>
    <row r="12" spans="2:34" x14ac:dyDescent="0.2">
      <c r="B12" s="40" t="s">
        <v>37</v>
      </c>
      <c r="C12" s="41">
        <v>380.3</v>
      </c>
      <c r="D12" s="41">
        <v>379.7</v>
      </c>
      <c r="F12" s="62" t="s">
        <v>53</v>
      </c>
      <c r="G12" s="6">
        <f>+(76.57+76.76)/5</f>
        <v>30.665999999999997</v>
      </c>
      <c r="H12" s="21"/>
      <c r="I12" s="21" t="s">
        <v>61</v>
      </c>
      <c r="J12" s="33">
        <f>R8</f>
        <v>37.11</v>
      </c>
      <c r="L12" s="70">
        <v>42600</v>
      </c>
      <c r="M12" t="s">
        <v>387</v>
      </c>
      <c r="N12" s="100">
        <v>37.68</v>
      </c>
      <c r="P12" s="70">
        <v>42604</v>
      </c>
      <c r="Q12" t="s">
        <v>119</v>
      </c>
      <c r="R12" s="20">
        <v>5.45</v>
      </c>
      <c r="T12" s="70">
        <v>42588</v>
      </c>
      <c r="U12" t="s">
        <v>365</v>
      </c>
      <c r="V12" s="100">
        <v>21.06</v>
      </c>
      <c r="X12" s="70">
        <v>42587</v>
      </c>
      <c r="Y12" t="s">
        <v>362</v>
      </c>
      <c r="Z12" s="100">
        <f>6.5</f>
        <v>6.5</v>
      </c>
      <c r="AB12" s="70">
        <v>42589</v>
      </c>
      <c r="AC12" t="s">
        <v>360</v>
      </c>
      <c r="AD12" s="20">
        <v>15</v>
      </c>
      <c r="AF12" s="70">
        <v>42588</v>
      </c>
      <c r="AG12" t="s">
        <v>363</v>
      </c>
      <c r="AH12" s="100">
        <v>30.9</v>
      </c>
    </row>
    <row r="13" spans="2:34" x14ac:dyDescent="0.2">
      <c r="B13" s="40" t="s">
        <v>35</v>
      </c>
      <c r="C13" s="41">
        <v>160.71</v>
      </c>
      <c r="D13" s="41">
        <v>160.56</v>
      </c>
      <c r="F13" s="62" t="s">
        <v>54</v>
      </c>
      <c r="G13" s="6">
        <v>12.63</v>
      </c>
      <c r="H13" s="21"/>
      <c r="I13" s="21" t="s">
        <v>68</v>
      </c>
      <c r="J13" s="33">
        <f>V8</f>
        <v>319.64999999999998</v>
      </c>
      <c r="L13" s="70">
        <v>42602</v>
      </c>
      <c r="M13" t="s">
        <v>195</v>
      </c>
      <c r="N13" s="100">
        <f>30.11</f>
        <v>30.11</v>
      </c>
      <c r="T13" s="70">
        <v>42589</v>
      </c>
      <c r="U13" t="s">
        <v>366</v>
      </c>
      <c r="V13" s="100">
        <v>8.2200000000000006</v>
      </c>
      <c r="X13" s="70">
        <v>42587</v>
      </c>
      <c r="Y13" t="s">
        <v>364</v>
      </c>
      <c r="Z13" s="100">
        <v>15</v>
      </c>
      <c r="AB13" s="70">
        <v>42591</v>
      </c>
      <c r="AC13" t="s">
        <v>374</v>
      </c>
      <c r="AD13" s="100">
        <f>58.78+5.38</f>
        <v>64.16</v>
      </c>
      <c r="AF13" s="70">
        <v>42589</v>
      </c>
      <c r="AG13" t="s">
        <v>370</v>
      </c>
      <c r="AH13" s="100">
        <v>9.48</v>
      </c>
    </row>
    <row r="14" spans="2:34" x14ac:dyDescent="0.2">
      <c r="B14" s="40" t="s">
        <v>36</v>
      </c>
      <c r="C14" s="41">
        <v>37.58</v>
      </c>
      <c r="D14" s="41">
        <v>37.549999999999997</v>
      </c>
      <c r="F14" s="62" t="s">
        <v>55</v>
      </c>
      <c r="G14" s="103">
        <v>0</v>
      </c>
      <c r="H14" s="21"/>
      <c r="I14" s="21" t="s">
        <v>69</v>
      </c>
      <c r="J14" s="33">
        <f>Z8</f>
        <v>294.33000000000004</v>
      </c>
      <c r="L14" s="70">
        <v>42608</v>
      </c>
      <c r="M14" t="s">
        <v>219</v>
      </c>
      <c r="N14" s="20">
        <v>38.19</v>
      </c>
      <c r="T14" s="70">
        <v>42594</v>
      </c>
      <c r="U14" t="s">
        <v>378</v>
      </c>
      <c r="V14" s="100">
        <v>53.38</v>
      </c>
      <c r="X14" s="70">
        <v>42588</v>
      </c>
      <c r="Y14" t="s">
        <v>365</v>
      </c>
      <c r="Z14" s="100">
        <v>6.22</v>
      </c>
      <c r="AB14" s="70">
        <v>42593</v>
      </c>
      <c r="AC14" t="s">
        <v>170</v>
      </c>
      <c r="AD14" s="100">
        <f>15</f>
        <v>15</v>
      </c>
      <c r="AF14" s="70">
        <v>42590</v>
      </c>
      <c r="AG14" t="s">
        <v>372</v>
      </c>
      <c r="AH14" s="100">
        <v>9.83</v>
      </c>
    </row>
    <row r="15" spans="2:34" x14ac:dyDescent="0.2">
      <c r="B15" s="42" t="s">
        <v>39</v>
      </c>
      <c r="C15" s="22">
        <f>SUM(C12:C14)</f>
        <v>578.59</v>
      </c>
      <c r="D15" s="43">
        <f>SUM(D12:D14)</f>
        <v>577.80999999999995</v>
      </c>
      <c r="F15" s="63" t="s">
        <v>56</v>
      </c>
      <c r="G15" s="104">
        <f>SUM(G11:G14)</f>
        <v>130.01</v>
      </c>
      <c r="H15" s="21"/>
      <c r="I15" s="21" t="s">
        <v>70</v>
      </c>
      <c r="J15" s="33">
        <f>AD8</f>
        <v>110.13</v>
      </c>
      <c r="L15" s="70">
        <v>42610</v>
      </c>
      <c r="M15" t="s">
        <v>122</v>
      </c>
      <c r="N15" s="100">
        <v>37.33</v>
      </c>
      <c r="T15" s="70">
        <v>42595</v>
      </c>
      <c r="U15" t="s">
        <v>379</v>
      </c>
      <c r="V15" s="100">
        <v>13.28</v>
      </c>
      <c r="X15" s="70">
        <v>42588</v>
      </c>
      <c r="Y15" t="s">
        <v>180</v>
      </c>
      <c r="Z15" s="100">
        <v>34.1</v>
      </c>
      <c r="AB15" s="70">
        <v>42609</v>
      </c>
      <c r="AC15" t="s">
        <v>393</v>
      </c>
      <c r="AD15" s="20">
        <v>8</v>
      </c>
      <c r="AF15" s="70">
        <v>42590</v>
      </c>
      <c r="AG15" t="s">
        <v>373</v>
      </c>
      <c r="AH15" s="100">
        <v>4.22</v>
      </c>
    </row>
    <row r="16" spans="2:34" ht="16" thickBot="1" x14ac:dyDescent="0.25">
      <c r="B16" s="40" t="s">
        <v>40</v>
      </c>
      <c r="C16" s="24">
        <f>C15/C8</f>
        <v>0.22342142658552411</v>
      </c>
      <c r="D16" s="44">
        <f>D15/D8</f>
        <v>0.22312023107102036</v>
      </c>
      <c r="F16" s="32"/>
      <c r="G16" s="6"/>
      <c r="H16" s="21"/>
      <c r="I16" s="21" t="s">
        <v>71</v>
      </c>
      <c r="J16" s="33">
        <f>AH8</f>
        <v>653.87</v>
      </c>
      <c r="T16" s="70">
        <v>42596</v>
      </c>
      <c r="U16" t="s">
        <v>381</v>
      </c>
      <c r="V16" s="100">
        <f>25.93</f>
        <v>25.93</v>
      </c>
      <c r="X16" s="70">
        <v>42588</v>
      </c>
      <c r="Y16" t="s">
        <v>369</v>
      </c>
      <c r="Z16" s="100">
        <v>20</v>
      </c>
      <c r="AF16" s="70">
        <v>42592</v>
      </c>
      <c r="AG16" t="s">
        <v>214</v>
      </c>
      <c r="AH16" s="20">
        <v>3.25</v>
      </c>
    </row>
    <row r="17" spans="2:34" ht="16" thickBot="1" x14ac:dyDescent="0.25">
      <c r="B17" s="40"/>
      <c r="C17" s="24"/>
      <c r="D17" s="45">
        <f>SUM(C15:D15)</f>
        <v>1156.4000000000001</v>
      </c>
      <c r="F17" s="65" t="s">
        <v>63</v>
      </c>
      <c r="G17" s="6"/>
      <c r="H17" s="21"/>
      <c r="I17" s="77" t="s">
        <v>94</v>
      </c>
      <c r="J17" s="33">
        <f>3.62+0.75+5.76+2.67+3.69+2.8</f>
        <v>19.29</v>
      </c>
      <c r="T17" s="70">
        <v>42596</v>
      </c>
      <c r="U17" t="s">
        <v>179</v>
      </c>
      <c r="V17" s="100">
        <f>7.85</f>
        <v>7.85</v>
      </c>
      <c r="X17" s="70">
        <v>42593</v>
      </c>
      <c r="Y17" t="s">
        <v>377</v>
      </c>
      <c r="Z17" s="100">
        <f>18.4</f>
        <v>18.399999999999999</v>
      </c>
      <c r="AF17" s="70">
        <v>42592</v>
      </c>
      <c r="AG17" t="s">
        <v>375</v>
      </c>
      <c r="AH17" s="100">
        <f>82.45</f>
        <v>82.45</v>
      </c>
    </row>
    <row r="18" spans="2:34" x14ac:dyDescent="0.2">
      <c r="B18" s="46"/>
      <c r="C18" s="47"/>
      <c r="D18" s="48">
        <f>D17/D9</f>
        <v>0.22327082882827226</v>
      </c>
      <c r="F18" s="32" t="s">
        <v>101</v>
      </c>
      <c r="G18" s="6">
        <f>497.3</f>
        <v>497.3</v>
      </c>
      <c r="H18" s="21"/>
      <c r="I18" s="77" t="s">
        <v>102</v>
      </c>
      <c r="J18" s="33">
        <f>SUM(J33:J35)</f>
        <v>26.5</v>
      </c>
      <c r="T18" s="70">
        <v>42597</v>
      </c>
      <c r="U18" t="s">
        <v>349</v>
      </c>
      <c r="V18" s="100">
        <f>4.64</f>
        <v>4.6399999999999997</v>
      </c>
      <c r="X18" s="70">
        <v>42595</v>
      </c>
      <c r="Y18" t="s">
        <v>191</v>
      </c>
      <c r="Z18" s="100">
        <v>11.99</v>
      </c>
      <c r="AF18" s="70">
        <v>42595</v>
      </c>
      <c r="AG18" t="s">
        <v>222</v>
      </c>
      <c r="AH18" s="100">
        <f>5.3</f>
        <v>5.3</v>
      </c>
    </row>
    <row r="19" spans="2:34" x14ac:dyDescent="0.2">
      <c r="F19" s="32" t="s">
        <v>57</v>
      </c>
      <c r="G19" s="6">
        <f>320</f>
        <v>320</v>
      </c>
      <c r="H19" s="21"/>
      <c r="I19" s="55" t="s">
        <v>72</v>
      </c>
      <c r="J19" s="64">
        <f>SUM(J11:J18)</f>
        <v>1680.17</v>
      </c>
      <c r="T19" s="70">
        <v>42598</v>
      </c>
      <c r="U19" t="s">
        <v>383</v>
      </c>
      <c r="V19" s="100">
        <f>20</f>
        <v>20</v>
      </c>
      <c r="X19" s="70">
        <v>42596</v>
      </c>
      <c r="Y19" t="s">
        <v>323</v>
      </c>
      <c r="Z19" s="100">
        <f>11.99</f>
        <v>11.99</v>
      </c>
      <c r="AF19" s="70">
        <v>42600</v>
      </c>
      <c r="AG19" t="s">
        <v>329</v>
      </c>
      <c r="AH19" s="100">
        <f>4.25</f>
        <v>4.25</v>
      </c>
    </row>
    <row r="20" spans="2:34" ht="16" thickBot="1" x14ac:dyDescent="0.25">
      <c r="B20" s="29" t="s">
        <v>42</v>
      </c>
      <c r="C20" s="38"/>
      <c r="D20" s="39"/>
      <c r="F20" s="32" t="s">
        <v>58</v>
      </c>
      <c r="G20" s="6">
        <f>90</f>
        <v>90</v>
      </c>
      <c r="H20" s="21"/>
      <c r="I20" s="21"/>
      <c r="J20" s="33"/>
      <c r="T20" s="70">
        <v>42599</v>
      </c>
      <c r="U20" t="s">
        <v>384</v>
      </c>
      <c r="V20" s="100">
        <f>15.6</f>
        <v>15.6</v>
      </c>
      <c r="X20" s="70">
        <v>42596</v>
      </c>
      <c r="Y20" t="s">
        <v>380</v>
      </c>
      <c r="Z20" s="100">
        <f>8</f>
        <v>8</v>
      </c>
      <c r="AF20" s="70">
        <v>42603</v>
      </c>
      <c r="AG20" t="s">
        <v>329</v>
      </c>
      <c r="AH20" s="100">
        <f>6.51</f>
        <v>6.51</v>
      </c>
    </row>
    <row r="21" spans="2:34" ht="16" thickBot="1" x14ac:dyDescent="0.25">
      <c r="B21" s="40" t="s">
        <v>376</v>
      </c>
      <c r="C21" s="33">
        <f>0.08*C6</f>
        <v>207.17439999999999</v>
      </c>
      <c r="D21" s="33">
        <f>0.08*D6</f>
        <v>207.17439999999999</v>
      </c>
      <c r="F21" s="32" t="s">
        <v>91</v>
      </c>
      <c r="G21" s="6">
        <v>100</v>
      </c>
      <c r="H21" s="21"/>
      <c r="I21" s="56" t="s">
        <v>73</v>
      </c>
      <c r="J21" s="106">
        <f>SUM(G26,J19)</f>
        <v>3533.69</v>
      </c>
      <c r="T21" s="70">
        <v>42600</v>
      </c>
      <c r="U21" t="s">
        <v>385</v>
      </c>
      <c r="V21" s="100">
        <f>16.67+20</f>
        <v>36.67</v>
      </c>
      <c r="X21" s="70">
        <v>42601</v>
      </c>
      <c r="Y21" t="s">
        <v>385</v>
      </c>
      <c r="Z21" s="20">
        <f>63.59-20</f>
        <v>43.59</v>
      </c>
      <c r="AF21" s="70">
        <v>42602</v>
      </c>
      <c r="AG21" t="s">
        <v>117</v>
      </c>
      <c r="AH21" s="100">
        <f>21.65</f>
        <v>21.65</v>
      </c>
    </row>
    <row r="22" spans="2:34" x14ac:dyDescent="0.2">
      <c r="B22" s="40" t="s">
        <v>44</v>
      </c>
      <c r="C22" s="33">
        <f>0.04*C6</f>
        <v>103.5872</v>
      </c>
      <c r="D22" s="33">
        <f>0.04*D6</f>
        <v>103.5872</v>
      </c>
      <c r="F22" s="32" t="s">
        <v>59</v>
      </c>
      <c r="G22" s="6">
        <v>0</v>
      </c>
      <c r="H22" s="21"/>
      <c r="I22" s="21"/>
      <c r="J22" s="60"/>
      <c r="T22" s="70">
        <v>42602</v>
      </c>
      <c r="U22" t="s">
        <v>117</v>
      </c>
      <c r="V22" s="100">
        <f>34.15</f>
        <v>34.15</v>
      </c>
      <c r="X22" s="70">
        <v>42601</v>
      </c>
      <c r="Y22" t="s">
        <v>328</v>
      </c>
      <c r="Z22" s="20">
        <v>32.119999999999997</v>
      </c>
      <c r="AF22" s="70">
        <v>42607</v>
      </c>
      <c r="AG22" t="s">
        <v>388</v>
      </c>
      <c r="AH22" s="100">
        <f>529.34-176.5*2</f>
        <v>176.34000000000003</v>
      </c>
    </row>
    <row r="23" spans="2:34" x14ac:dyDescent="0.2">
      <c r="B23" s="42" t="s">
        <v>45</v>
      </c>
      <c r="C23" s="23">
        <f>SUM(C21:C22)</f>
        <v>310.76159999999999</v>
      </c>
      <c r="D23" s="49">
        <f>SUM(D21:D22)</f>
        <v>310.76159999999999</v>
      </c>
      <c r="F23" s="32" t="s">
        <v>60</v>
      </c>
      <c r="G23" s="6">
        <v>5.4</v>
      </c>
      <c r="H23" s="21"/>
      <c r="I23" s="21"/>
      <c r="J23" s="60"/>
      <c r="T23" s="70">
        <v>42602</v>
      </c>
      <c r="U23" t="s">
        <v>143</v>
      </c>
      <c r="V23" s="100">
        <f>14.55</f>
        <v>14.55</v>
      </c>
      <c r="X23" s="70">
        <v>42609</v>
      </c>
      <c r="Y23" t="s">
        <v>394</v>
      </c>
      <c r="Z23" s="20">
        <v>8.65</v>
      </c>
    </row>
    <row r="24" spans="2:34" ht="16" thickBot="1" x14ac:dyDescent="0.25">
      <c r="B24" s="32"/>
      <c r="C24" s="50">
        <f>C23/C6</f>
        <v>0.12000000000000001</v>
      </c>
      <c r="D24" s="51">
        <f>D23/D6</f>
        <v>0.12000000000000001</v>
      </c>
      <c r="F24" s="36" t="s">
        <v>95</v>
      </c>
      <c r="G24" s="103">
        <f>10.81</f>
        <v>10.81</v>
      </c>
      <c r="H24" s="21"/>
      <c r="I24" s="21"/>
      <c r="J24" s="60"/>
      <c r="T24" s="70">
        <v>42603</v>
      </c>
      <c r="U24" t="s">
        <v>386</v>
      </c>
      <c r="V24" s="100">
        <f>35.65</f>
        <v>35.65</v>
      </c>
      <c r="X24" s="70">
        <v>42610</v>
      </c>
      <c r="Y24" t="s">
        <v>390</v>
      </c>
      <c r="Z24" s="100">
        <f>34.64</f>
        <v>34.64</v>
      </c>
    </row>
    <row r="25" spans="2:34" ht="16" thickBot="1" x14ac:dyDescent="0.25">
      <c r="B25" s="32"/>
      <c r="C25" s="21"/>
      <c r="D25" s="52">
        <f>SUM(C23:D23)</f>
        <v>621.52319999999997</v>
      </c>
      <c r="F25" s="66" t="s">
        <v>65</v>
      </c>
      <c r="G25" s="54">
        <f>SUM(G18:G24)</f>
        <v>1023.5099999999999</v>
      </c>
      <c r="H25" s="21"/>
      <c r="I25" s="21"/>
      <c r="J25" s="60"/>
      <c r="T25" s="70">
        <v>42608</v>
      </c>
      <c r="U25" t="s">
        <v>389</v>
      </c>
      <c r="V25" s="20">
        <v>4.2300000000000004</v>
      </c>
      <c r="X25" s="70">
        <v>42610</v>
      </c>
      <c r="Y25" t="s">
        <v>391</v>
      </c>
      <c r="Z25" s="100">
        <f>22.73</f>
        <v>22.73</v>
      </c>
    </row>
    <row r="26" spans="2:34" x14ac:dyDescent="0.2">
      <c r="B26" s="36"/>
      <c r="C26" s="19"/>
      <c r="D26" s="53">
        <f>D25/SUM(C6:D6)</f>
        <v>0.12000000000000001</v>
      </c>
      <c r="F26" s="107" t="s">
        <v>64</v>
      </c>
      <c r="G26" s="108">
        <f>SUM(G8,G15,G25)</f>
        <v>1853.52</v>
      </c>
      <c r="H26" s="19"/>
      <c r="I26" s="19"/>
      <c r="J26" s="67"/>
      <c r="T26" s="70">
        <v>42610</v>
      </c>
      <c r="U26" t="s">
        <v>156</v>
      </c>
      <c r="V26" s="100">
        <f>7.84</f>
        <v>7.84</v>
      </c>
    </row>
    <row r="27" spans="2:34" ht="16" thickBot="1" x14ac:dyDescent="0.25">
      <c r="T27" s="70">
        <v>42610</v>
      </c>
      <c r="U27" t="s">
        <v>392</v>
      </c>
      <c r="V27" s="100">
        <f>8.11</f>
        <v>8.11</v>
      </c>
    </row>
    <row r="28" spans="2:34" ht="16" thickBot="1" x14ac:dyDescent="0.25">
      <c r="B28" s="25" t="s">
        <v>46</v>
      </c>
      <c r="C28" s="26">
        <f>C8-C15-C23</f>
        <v>1700.3283999999996</v>
      </c>
      <c r="D28" s="27">
        <f>D8-D15-D23</f>
        <v>1701.1083999999998</v>
      </c>
      <c r="I28" s="25" t="s">
        <v>74</v>
      </c>
      <c r="J28" s="68">
        <f>G5-J21</f>
        <v>18107.663199999999</v>
      </c>
    </row>
    <row r="29" spans="2:34" ht="16" thickBot="1" x14ac:dyDescent="0.25">
      <c r="D29" s="28">
        <f>SUM(C28:D28)</f>
        <v>3401.4367999999995</v>
      </c>
    </row>
    <row r="30" spans="2:34" x14ac:dyDescent="0.2">
      <c r="I30" t="s">
        <v>100</v>
      </c>
      <c r="J30" s="20">
        <f>J28-G2</f>
        <v>-1453.2432000000008</v>
      </c>
    </row>
    <row r="32" spans="2:34" x14ac:dyDescent="0.2">
      <c r="I32" t="s">
        <v>102</v>
      </c>
      <c r="J32" s="20"/>
    </row>
    <row r="33" spans="9:10" x14ac:dyDescent="0.2">
      <c r="I33" t="s">
        <v>250</v>
      </c>
      <c r="J33" s="100">
        <v>5.0999999999999996</v>
      </c>
    </row>
    <row r="34" spans="9:10" x14ac:dyDescent="0.2">
      <c r="I34" t="s">
        <v>368</v>
      </c>
      <c r="J34" s="20">
        <v>2.5</v>
      </c>
    </row>
    <row r="35" spans="9:10" x14ac:dyDescent="0.2">
      <c r="I35" t="s">
        <v>382</v>
      </c>
      <c r="J35" s="20">
        <f>18.9</f>
        <v>18.899999999999999</v>
      </c>
    </row>
    <row r="36" spans="9:10" x14ac:dyDescent="0.2">
      <c r="J36" s="20"/>
    </row>
    <row r="38" spans="9:10" x14ac:dyDescent="0.2">
      <c r="J38" s="20"/>
    </row>
    <row r="39" spans="9:10" x14ac:dyDescent="0.2">
      <c r="J39" s="20"/>
    </row>
    <row r="40" spans="9:10" x14ac:dyDescent="0.2">
      <c r="J40" s="20"/>
    </row>
  </sheetData>
  <mergeCells count="19">
    <mergeCell ref="AF4:AG4"/>
    <mergeCell ref="L4:M4"/>
    <mergeCell ref="P4:Q4"/>
    <mergeCell ref="T4:U4"/>
    <mergeCell ref="X4:Y4"/>
    <mergeCell ref="AB4:AC4"/>
    <mergeCell ref="AF7:AG7"/>
    <mergeCell ref="L8:M8"/>
    <mergeCell ref="P8:Q8"/>
    <mergeCell ref="T8:U8"/>
    <mergeCell ref="X8:Y8"/>
    <mergeCell ref="AB8:AC8"/>
    <mergeCell ref="AF8:AG8"/>
    <mergeCell ref="AB7:AC7"/>
    <mergeCell ref="L6:M6"/>
    <mergeCell ref="L7:M7"/>
    <mergeCell ref="P7:Q7"/>
    <mergeCell ref="T7:U7"/>
    <mergeCell ref="X7:Y7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H36"/>
  <sheetViews>
    <sheetView zoomScale="90" zoomScaleNormal="90" zoomScalePageLayoutView="90" workbookViewId="0">
      <selection activeCell="G31" sqref="G31"/>
    </sheetView>
  </sheetViews>
  <sheetFormatPr baseColWidth="10" defaultColWidth="8.83203125" defaultRowHeight="15" x14ac:dyDescent="0.2"/>
  <cols>
    <col min="1" max="1" width="1.83203125" customWidth="1"/>
    <col min="2" max="2" width="24.5" bestFit="1" customWidth="1"/>
    <col min="3" max="4" width="14.6640625" customWidth="1"/>
    <col min="5" max="5" width="3.6640625" customWidth="1"/>
    <col min="6" max="6" width="25.83203125" bestFit="1" customWidth="1"/>
    <col min="7" max="7" width="14.6640625" style="3" customWidth="1"/>
    <col min="8" max="8" width="3.5" customWidth="1"/>
    <col min="9" max="9" width="25.5" bestFit="1" customWidth="1"/>
    <col min="10" max="10" width="12.1640625" bestFit="1" customWidth="1"/>
    <col min="11" max="11" width="3.6640625" customWidth="1"/>
    <col min="12" max="12" width="11.5" style="70" customWidth="1"/>
    <col min="13" max="13" width="12" bestFit="1" customWidth="1"/>
    <col min="14" max="14" width="8.83203125" style="20"/>
    <col min="15" max="15" width="2.6640625" customWidth="1"/>
    <col min="16" max="16" width="11.5" style="70" customWidth="1"/>
    <col min="17" max="17" width="11.33203125" bestFit="1" customWidth="1"/>
    <col min="18" max="18" width="8.83203125" style="20"/>
    <col min="19" max="19" width="2.6640625" customWidth="1"/>
    <col min="20" max="20" width="11.5" style="70" customWidth="1"/>
    <col min="21" max="21" width="19.33203125" bestFit="1" customWidth="1"/>
    <col min="22" max="22" width="10.1640625" style="20" bestFit="1" customWidth="1"/>
    <col min="23" max="23" width="2.6640625" customWidth="1"/>
    <col min="24" max="24" width="11.5" style="70" customWidth="1"/>
    <col min="25" max="25" width="16.33203125" bestFit="1" customWidth="1"/>
    <col min="26" max="26" width="8.83203125" style="20"/>
    <col min="27" max="27" width="2.6640625" customWidth="1"/>
    <col min="28" max="28" width="11.5" style="70" customWidth="1"/>
    <col min="29" max="29" width="19.1640625" bestFit="1" customWidth="1"/>
    <col min="30" max="30" width="10.1640625" style="20" bestFit="1" customWidth="1"/>
    <col min="31" max="31" width="2.6640625" customWidth="1"/>
    <col min="32" max="32" width="11.5" style="70" customWidth="1"/>
    <col min="33" max="33" width="25" bestFit="1" customWidth="1"/>
    <col min="34" max="34" width="8.83203125" style="20"/>
  </cols>
  <sheetData>
    <row r="1" spans="2:34" ht="10.5" customHeight="1" thickBot="1" x14ac:dyDescent="0.25"/>
    <row r="2" spans="2:34" ht="16" thickBot="1" x14ac:dyDescent="0.25">
      <c r="B2" s="16" t="s">
        <v>353</v>
      </c>
      <c r="F2" t="s">
        <v>47</v>
      </c>
      <c r="G2" s="3">
        <f>Aug!J28</f>
        <v>18107.663199999999</v>
      </c>
      <c r="I2" s="20"/>
    </row>
    <row r="3" spans="2:34" x14ac:dyDescent="0.2">
      <c r="B3" s="21" t="s">
        <v>38</v>
      </c>
      <c r="C3" s="20">
        <f>C6*24</f>
        <v>62152.319999999992</v>
      </c>
      <c r="F3" s="105" t="s">
        <v>46</v>
      </c>
      <c r="G3" s="15">
        <f>D29</f>
        <v>3401.4067999999997</v>
      </c>
    </row>
    <row r="4" spans="2:34" x14ac:dyDescent="0.2">
      <c r="F4" t="s">
        <v>48</v>
      </c>
      <c r="G4" s="3">
        <v>0</v>
      </c>
      <c r="I4" t="s">
        <v>112</v>
      </c>
      <c r="J4" s="20">
        <f>SUM(N4,R4,V4,Z4,AD4,AH4)</f>
        <v>-197.77999999999997</v>
      </c>
      <c r="L4" s="134" t="s">
        <v>105</v>
      </c>
      <c r="M4" s="134"/>
      <c r="N4" s="20">
        <f>60-N8</f>
        <v>19.560000000000002</v>
      </c>
      <c r="P4" s="134" t="s">
        <v>106</v>
      </c>
      <c r="Q4" s="134"/>
      <c r="R4" s="20">
        <f>50-R8</f>
        <v>-95.230000000000018</v>
      </c>
      <c r="T4" s="134" t="s">
        <v>107</v>
      </c>
      <c r="U4" s="134"/>
      <c r="V4" s="20">
        <f>120-V8</f>
        <v>-71.94</v>
      </c>
      <c r="X4" s="134" t="s">
        <v>108</v>
      </c>
      <c r="Y4" s="134"/>
      <c r="Z4" s="20">
        <f>100-Z8</f>
        <v>13.549999999999997</v>
      </c>
      <c r="AB4" s="134" t="s">
        <v>109</v>
      </c>
      <c r="AC4" s="134"/>
      <c r="AD4" s="20">
        <f>50-AD8</f>
        <v>-235.89999999999998</v>
      </c>
      <c r="AF4" s="134" t="s">
        <v>110</v>
      </c>
      <c r="AG4" s="134"/>
      <c r="AH4" s="20">
        <f>300-AH8</f>
        <v>172.18</v>
      </c>
    </row>
    <row r="5" spans="2:34" ht="16" thickBot="1" x14ac:dyDescent="0.25">
      <c r="B5" s="29" t="s">
        <v>15</v>
      </c>
      <c r="C5" s="30" t="s">
        <v>31</v>
      </c>
      <c r="D5" s="31" t="s">
        <v>32</v>
      </c>
      <c r="F5" s="105" t="s">
        <v>49</v>
      </c>
      <c r="G5" s="15">
        <f>SUM(G2:G4)</f>
        <v>21509.07</v>
      </c>
    </row>
    <row r="6" spans="2:34" ht="16" thickBot="1" x14ac:dyDescent="0.25">
      <c r="B6" s="32" t="s">
        <v>33</v>
      </c>
      <c r="C6" s="103">
        <v>2589.6799999999998</v>
      </c>
      <c r="D6" s="116">
        <v>2589.6799999999998</v>
      </c>
      <c r="L6" s="130" t="s">
        <v>77</v>
      </c>
      <c r="M6" s="130"/>
      <c r="N6" s="72"/>
      <c r="O6" s="17"/>
      <c r="P6" s="73"/>
      <c r="Q6" s="17"/>
      <c r="R6" s="72"/>
      <c r="S6" s="17"/>
      <c r="T6" s="73"/>
      <c r="U6" s="17"/>
      <c r="V6" s="72"/>
      <c r="W6" s="17"/>
      <c r="X6" s="73"/>
      <c r="Y6" s="17"/>
      <c r="Z6" s="72"/>
      <c r="AA6" s="17"/>
      <c r="AB6" s="73"/>
      <c r="AC6" s="17"/>
      <c r="AD6" s="72"/>
      <c r="AE6" s="17"/>
      <c r="AF6" s="73"/>
      <c r="AG6" s="17"/>
      <c r="AH6" s="72"/>
    </row>
    <row r="7" spans="2:34" ht="16" thickBot="1" x14ac:dyDescent="0.25">
      <c r="B7" s="32" t="s">
        <v>34</v>
      </c>
      <c r="C7" s="6">
        <v>0</v>
      </c>
      <c r="D7" s="33">
        <v>0</v>
      </c>
      <c r="F7" s="57" t="s">
        <v>50</v>
      </c>
      <c r="G7" s="58"/>
      <c r="H7" s="38"/>
      <c r="I7" s="38"/>
      <c r="J7" s="39"/>
      <c r="L7" s="131" t="s">
        <v>62</v>
      </c>
      <c r="M7" s="131"/>
      <c r="P7" s="132" t="s">
        <v>61</v>
      </c>
      <c r="Q7" s="132"/>
      <c r="T7" s="132" t="s">
        <v>68</v>
      </c>
      <c r="U7" s="132"/>
      <c r="X7" s="132" t="s">
        <v>69</v>
      </c>
      <c r="Y7" s="132"/>
      <c r="AB7" s="132" t="s">
        <v>81</v>
      </c>
      <c r="AC7" s="132"/>
      <c r="AF7" s="132" t="s">
        <v>111</v>
      </c>
      <c r="AG7" s="132"/>
    </row>
    <row r="8" spans="2:34" ht="16" thickBot="1" x14ac:dyDescent="0.25">
      <c r="B8" s="34" t="s">
        <v>66</v>
      </c>
      <c r="C8" s="18">
        <f>C6+C7</f>
        <v>2589.6799999999998</v>
      </c>
      <c r="D8" s="35">
        <f>D6+D7</f>
        <v>2589.6799999999998</v>
      </c>
      <c r="F8" s="59" t="s">
        <v>90</v>
      </c>
      <c r="G8" s="104">
        <v>700</v>
      </c>
      <c r="H8" s="21"/>
      <c r="I8" s="21"/>
      <c r="J8" s="60"/>
      <c r="L8" s="133" t="s">
        <v>82</v>
      </c>
      <c r="M8" s="133"/>
      <c r="N8" s="71">
        <f>SUM(N10:N50)</f>
        <v>40.44</v>
      </c>
      <c r="P8" s="133" t="s">
        <v>82</v>
      </c>
      <c r="Q8" s="133"/>
      <c r="R8" s="71">
        <f>SUM(R10:R50)</f>
        <v>145.23000000000002</v>
      </c>
      <c r="T8" s="133" t="s">
        <v>82</v>
      </c>
      <c r="U8" s="133"/>
      <c r="V8" s="71">
        <f>SUM(V10:V50)</f>
        <v>191.94</v>
      </c>
      <c r="X8" s="133" t="s">
        <v>82</v>
      </c>
      <c r="Y8" s="133"/>
      <c r="Z8" s="71">
        <f>SUM(Z10:Z50)</f>
        <v>86.45</v>
      </c>
      <c r="AB8" s="133" t="s">
        <v>82</v>
      </c>
      <c r="AC8" s="133"/>
      <c r="AD8" s="71">
        <f>SUM(AD10:AD50)</f>
        <v>285.89999999999998</v>
      </c>
      <c r="AF8" s="133" t="s">
        <v>82</v>
      </c>
      <c r="AG8" s="133"/>
      <c r="AH8" s="71">
        <f>SUM(AH10:AH50)</f>
        <v>127.82</v>
      </c>
    </row>
    <row r="9" spans="2:34" x14ac:dyDescent="0.2">
      <c r="B9" s="36"/>
      <c r="C9" s="19"/>
      <c r="D9" s="37">
        <f>SUM(C8:D8)</f>
        <v>5179.3599999999997</v>
      </c>
      <c r="F9" s="32"/>
      <c r="G9" s="6"/>
      <c r="H9" s="21"/>
      <c r="I9" s="21"/>
      <c r="J9" s="60"/>
      <c r="L9" s="74" t="s">
        <v>78</v>
      </c>
      <c r="M9" s="19" t="s">
        <v>79</v>
      </c>
      <c r="N9" s="75" t="s">
        <v>80</v>
      </c>
      <c r="P9" s="74" t="s">
        <v>78</v>
      </c>
      <c r="Q9" s="19" t="s">
        <v>79</v>
      </c>
      <c r="R9" s="75" t="s">
        <v>80</v>
      </c>
      <c r="T9" s="74" t="s">
        <v>78</v>
      </c>
      <c r="U9" s="19" t="s">
        <v>79</v>
      </c>
      <c r="V9" s="75" t="s">
        <v>80</v>
      </c>
      <c r="X9" s="74" t="s">
        <v>78</v>
      </c>
      <c r="Y9" s="19" t="s">
        <v>79</v>
      </c>
      <c r="Z9" s="75" t="s">
        <v>80</v>
      </c>
      <c r="AB9" s="74" t="s">
        <v>78</v>
      </c>
      <c r="AC9" s="19" t="s">
        <v>79</v>
      </c>
      <c r="AD9" s="75" t="s">
        <v>80</v>
      </c>
      <c r="AF9" s="74" t="s">
        <v>78</v>
      </c>
      <c r="AG9" s="19" t="s">
        <v>79</v>
      </c>
      <c r="AH9" s="75" t="s">
        <v>80</v>
      </c>
    </row>
    <row r="10" spans="2:34" ht="16" thickBot="1" x14ac:dyDescent="0.25">
      <c r="F10" s="61" t="s">
        <v>51</v>
      </c>
      <c r="G10" s="6"/>
      <c r="H10" s="21"/>
      <c r="I10" s="17" t="s">
        <v>67</v>
      </c>
      <c r="J10" s="60"/>
      <c r="L10" s="70">
        <v>42642</v>
      </c>
      <c r="M10" t="s">
        <v>264</v>
      </c>
      <c r="N10" s="100">
        <f>40.44</f>
        <v>40.44</v>
      </c>
      <c r="P10" s="70">
        <v>42616</v>
      </c>
      <c r="Q10" t="s">
        <v>119</v>
      </c>
      <c r="R10" s="100">
        <v>14.04</v>
      </c>
      <c r="T10" s="70">
        <v>42618</v>
      </c>
      <c r="U10" t="s">
        <v>396</v>
      </c>
      <c r="V10" s="100">
        <f>19</f>
        <v>19</v>
      </c>
      <c r="X10" s="70">
        <v>42617</v>
      </c>
      <c r="Y10" t="s">
        <v>155</v>
      </c>
      <c r="Z10" s="20">
        <v>19.489999999999998</v>
      </c>
      <c r="AB10" s="70">
        <v>42619</v>
      </c>
      <c r="AC10" t="s">
        <v>399</v>
      </c>
      <c r="AD10" s="100">
        <v>30</v>
      </c>
      <c r="AF10" s="70">
        <v>42616</v>
      </c>
      <c r="AG10" t="s">
        <v>397</v>
      </c>
      <c r="AH10" s="100">
        <f>107.17-52</f>
        <v>55.17</v>
      </c>
    </row>
    <row r="11" spans="2:34" ht="16" thickBot="1" x14ac:dyDescent="0.25">
      <c r="B11" s="29" t="s">
        <v>41</v>
      </c>
      <c r="C11" s="38"/>
      <c r="D11" s="39"/>
      <c r="F11" s="62" t="s">
        <v>52</v>
      </c>
      <c r="G11" s="6">
        <f>339.57/4</f>
        <v>84.892499999999998</v>
      </c>
      <c r="H11" s="21"/>
      <c r="I11" s="21" t="s">
        <v>62</v>
      </c>
      <c r="J11" s="33">
        <f>N8</f>
        <v>40.44</v>
      </c>
      <c r="N11" s="100"/>
      <c r="P11" s="70">
        <v>42619</v>
      </c>
      <c r="Q11" t="s">
        <v>119</v>
      </c>
      <c r="R11" s="100">
        <f>13.04</f>
        <v>13.04</v>
      </c>
      <c r="T11" s="70">
        <v>42622</v>
      </c>
      <c r="U11" t="s">
        <v>403</v>
      </c>
      <c r="V11" s="20">
        <v>10.75</v>
      </c>
      <c r="X11" s="70">
        <v>42617</v>
      </c>
      <c r="Y11" t="s">
        <v>304</v>
      </c>
      <c r="Z11" s="100">
        <v>14.99</v>
      </c>
      <c r="AB11" s="70">
        <v>42637</v>
      </c>
      <c r="AC11" t="s">
        <v>415</v>
      </c>
      <c r="AD11" s="100">
        <f>2.95+2.95</f>
        <v>5.9</v>
      </c>
      <c r="AF11" s="70">
        <v>42617</v>
      </c>
      <c r="AG11" t="s">
        <v>398</v>
      </c>
      <c r="AH11" s="100">
        <f>3.25</f>
        <v>3.25</v>
      </c>
    </row>
    <row r="12" spans="2:34" x14ac:dyDescent="0.2">
      <c r="B12" s="40" t="s">
        <v>395</v>
      </c>
      <c r="C12" s="41">
        <v>380.32</v>
      </c>
      <c r="D12" s="41">
        <v>379.7</v>
      </c>
      <c r="F12" s="62" t="s">
        <v>53</v>
      </c>
      <c r="G12" s="6">
        <f>+(61.23+76.76)/4</f>
        <v>34.497500000000002</v>
      </c>
      <c r="H12" s="21"/>
      <c r="I12" s="21" t="s">
        <v>61</v>
      </c>
      <c r="J12" s="33">
        <f>R8</f>
        <v>145.23000000000002</v>
      </c>
      <c r="N12" s="100"/>
      <c r="P12" s="70">
        <v>42622</v>
      </c>
      <c r="Q12" t="s">
        <v>119</v>
      </c>
      <c r="R12" s="20">
        <v>10</v>
      </c>
      <c r="T12" s="70">
        <v>42623</v>
      </c>
      <c r="U12" t="s">
        <v>396</v>
      </c>
      <c r="V12" s="100">
        <f>9.5</f>
        <v>9.5</v>
      </c>
      <c r="X12" s="70">
        <v>42622</v>
      </c>
      <c r="Y12" t="s">
        <v>119</v>
      </c>
      <c r="Z12" s="100">
        <v>4.41</v>
      </c>
      <c r="AB12" s="70">
        <v>42640</v>
      </c>
      <c r="AC12" t="s">
        <v>410</v>
      </c>
      <c r="AD12" s="100">
        <f>-250+500</f>
        <v>250</v>
      </c>
      <c r="AF12" s="70">
        <v>42619</v>
      </c>
      <c r="AG12" t="s">
        <v>400</v>
      </c>
      <c r="AH12" s="20">
        <v>20</v>
      </c>
    </row>
    <row r="13" spans="2:34" x14ac:dyDescent="0.2">
      <c r="B13" s="40" t="s">
        <v>35</v>
      </c>
      <c r="C13" s="41">
        <v>160.71</v>
      </c>
      <c r="D13" s="41">
        <v>160.56</v>
      </c>
      <c r="F13" s="62" t="s">
        <v>54</v>
      </c>
      <c r="G13" s="6">
        <v>15.78</v>
      </c>
      <c r="H13" s="21"/>
      <c r="I13" s="21" t="s">
        <v>68</v>
      </c>
      <c r="J13" s="33">
        <f>V8</f>
        <v>191.94</v>
      </c>
      <c r="P13" s="70">
        <v>42626</v>
      </c>
      <c r="Q13" t="s">
        <v>119</v>
      </c>
      <c r="R13" s="100">
        <f>10.02</f>
        <v>10.02</v>
      </c>
      <c r="T13" s="70">
        <v>42624</v>
      </c>
      <c r="U13" t="s">
        <v>402</v>
      </c>
      <c r="V13" s="100">
        <f>20-12</f>
        <v>8</v>
      </c>
      <c r="X13" s="70">
        <v>42629</v>
      </c>
      <c r="Y13" t="s">
        <v>122</v>
      </c>
      <c r="Z13" s="20">
        <v>7.56</v>
      </c>
      <c r="AF13" s="70">
        <v>42621</v>
      </c>
      <c r="AG13" t="s">
        <v>401</v>
      </c>
      <c r="AH13" s="100">
        <v>20</v>
      </c>
    </row>
    <row r="14" spans="2:34" x14ac:dyDescent="0.2">
      <c r="B14" s="40" t="s">
        <v>36</v>
      </c>
      <c r="C14" s="41">
        <v>37.590000000000003</v>
      </c>
      <c r="D14" s="41">
        <v>37.549999999999997</v>
      </c>
      <c r="F14" s="62" t="s">
        <v>55</v>
      </c>
      <c r="G14" s="103"/>
      <c r="H14" s="21"/>
      <c r="I14" s="21" t="s">
        <v>69</v>
      </c>
      <c r="J14" s="33">
        <f>Z8</f>
        <v>86.45</v>
      </c>
      <c r="P14" s="70">
        <v>42628</v>
      </c>
      <c r="Q14" t="s">
        <v>157</v>
      </c>
      <c r="R14" s="20">
        <v>9.1</v>
      </c>
      <c r="T14" s="70">
        <v>42624</v>
      </c>
      <c r="U14" t="s">
        <v>143</v>
      </c>
      <c r="V14" s="100">
        <f>14</f>
        <v>14</v>
      </c>
      <c r="X14" s="70">
        <v>42635</v>
      </c>
      <c r="Y14" t="s">
        <v>411</v>
      </c>
      <c r="Z14" s="100">
        <v>8.5</v>
      </c>
      <c r="AF14" s="70">
        <v>42637</v>
      </c>
      <c r="AG14" t="s">
        <v>414</v>
      </c>
      <c r="AH14" s="20">
        <v>4.99</v>
      </c>
    </row>
    <row r="15" spans="2:34" x14ac:dyDescent="0.2">
      <c r="B15" s="42" t="s">
        <v>39</v>
      </c>
      <c r="C15" s="22">
        <f>SUM(C12:C14)</f>
        <v>578.62</v>
      </c>
      <c r="D15" s="43">
        <f>SUM(D12:D14)</f>
        <v>577.80999999999995</v>
      </c>
      <c r="F15" s="63" t="s">
        <v>56</v>
      </c>
      <c r="G15" s="104">
        <f>SUM(G11:G14)</f>
        <v>135.16999999999999</v>
      </c>
      <c r="H15" s="21"/>
      <c r="I15" s="21" t="s">
        <v>70</v>
      </c>
      <c r="J15" s="33">
        <f>AD8</f>
        <v>285.89999999999998</v>
      </c>
      <c r="P15" s="70">
        <v>42630</v>
      </c>
      <c r="Q15" t="s">
        <v>119</v>
      </c>
      <c r="R15" s="100">
        <f>55.56-5-5-20-5</f>
        <v>20.560000000000002</v>
      </c>
      <c r="T15" s="70">
        <v>42626</v>
      </c>
      <c r="U15" t="s">
        <v>404</v>
      </c>
      <c r="V15" s="100">
        <f>3.79</f>
        <v>3.79</v>
      </c>
      <c r="X15" s="70">
        <v>42637</v>
      </c>
      <c r="Y15" t="s">
        <v>412</v>
      </c>
      <c r="Z15" s="100">
        <f>18+13.5</f>
        <v>31.5</v>
      </c>
      <c r="AF15" s="70">
        <v>42639</v>
      </c>
      <c r="AG15" t="s">
        <v>174</v>
      </c>
      <c r="AH15" s="100">
        <f>24.41</f>
        <v>24.41</v>
      </c>
    </row>
    <row r="16" spans="2:34" ht="16" thickBot="1" x14ac:dyDescent="0.25">
      <c r="B16" s="40" t="s">
        <v>40</v>
      </c>
      <c r="C16" s="24">
        <f>C15/C8</f>
        <v>0.22343301102838961</v>
      </c>
      <c r="D16" s="44">
        <f>D15/D8</f>
        <v>0.22312023107102036</v>
      </c>
      <c r="F16" s="32"/>
      <c r="G16" s="6"/>
      <c r="H16" s="21"/>
      <c r="I16" s="21" t="s">
        <v>71</v>
      </c>
      <c r="J16" s="33">
        <f>AH8</f>
        <v>127.82</v>
      </c>
      <c r="P16" s="70">
        <v>42638</v>
      </c>
      <c r="Q16" t="s">
        <v>417</v>
      </c>
      <c r="R16" s="20">
        <v>23.71</v>
      </c>
      <c r="T16" s="70">
        <v>42629</v>
      </c>
      <c r="U16" t="s">
        <v>405</v>
      </c>
      <c r="V16" s="100">
        <v>16</v>
      </c>
    </row>
    <row r="17" spans="2:26" ht="16" thickBot="1" x14ac:dyDescent="0.25">
      <c r="B17" s="40"/>
      <c r="C17" s="24"/>
      <c r="D17" s="45">
        <f>SUM(C15:D15)</f>
        <v>1156.4299999999998</v>
      </c>
      <c r="F17" s="65" t="s">
        <v>63</v>
      </c>
      <c r="G17" s="6"/>
      <c r="H17" s="21"/>
      <c r="I17" s="77" t="s">
        <v>94</v>
      </c>
      <c r="J17" s="33">
        <f>1.68+1.25+1.71+4.27</f>
        <v>8.91</v>
      </c>
      <c r="P17" s="70">
        <v>42640</v>
      </c>
      <c r="Q17" t="s">
        <v>119</v>
      </c>
      <c r="R17" s="20">
        <v>37.950000000000003</v>
      </c>
      <c r="T17" s="70">
        <v>42630</v>
      </c>
      <c r="U17" t="s">
        <v>406</v>
      </c>
      <c r="V17" s="100">
        <f>38.23-7.5</f>
        <v>30.729999999999997</v>
      </c>
    </row>
    <row r="18" spans="2:26" x14ac:dyDescent="0.2">
      <c r="B18" s="46"/>
      <c r="C18" s="47"/>
      <c r="D18" s="48">
        <f>D17/D9</f>
        <v>0.22327662104970497</v>
      </c>
      <c r="F18" s="32" t="s">
        <v>101</v>
      </c>
      <c r="G18" s="6">
        <v>497.3</v>
      </c>
      <c r="H18" s="21"/>
      <c r="I18" s="77" t="s">
        <v>102</v>
      </c>
      <c r="J18" s="33">
        <f>SUM(J33:J35)</f>
        <v>31.5</v>
      </c>
      <c r="P18" s="70">
        <v>42641</v>
      </c>
      <c r="Q18" t="s">
        <v>157</v>
      </c>
      <c r="R18" s="100">
        <f>6.81</f>
        <v>6.81</v>
      </c>
      <c r="T18" s="70">
        <v>42631</v>
      </c>
      <c r="U18" t="s">
        <v>407</v>
      </c>
      <c r="V18" s="100">
        <f>5.41</f>
        <v>5.41</v>
      </c>
      <c r="Z18" s="100"/>
    </row>
    <row r="19" spans="2:26" x14ac:dyDescent="0.2">
      <c r="F19" s="32" t="s">
        <v>57</v>
      </c>
      <c r="G19" s="6">
        <f>320</f>
        <v>320</v>
      </c>
      <c r="H19" s="21"/>
      <c r="I19" s="55" t="s">
        <v>72</v>
      </c>
      <c r="J19" s="64">
        <f>SUM(J11:J18)</f>
        <v>918.18999999999994</v>
      </c>
      <c r="T19" s="70">
        <v>42632</v>
      </c>
      <c r="U19" t="s">
        <v>409</v>
      </c>
      <c r="V19" s="20">
        <v>7.5</v>
      </c>
    </row>
    <row r="20" spans="2:26" ht="16" thickBot="1" x14ac:dyDescent="0.25">
      <c r="B20" s="29" t="s">
        <v>42</v>
      </c>
      <c r="C20" s="38"/>
      <c r="D20" s="39"/>
      <c r="F20" s="32" t="s">
        <v>58</v>
      </c>
      <c r="G20" s="6">
        <f>90</f>
        <v>90</v>
      </c>
      <c r="H20" s="21"/>
      <c r="I20" s="21"/>
      <c r="J20" s="33"/>
      <c r="T20" s="70">
        <v>42635</v>
      </c>
      <c r="U20" t="s">
        <v>141</v>
      </c>
      <c r="V20" s="20">
        <v>9.32</v>
      </c>
    </row>
    <row r="21" spans="2:26" ht="16" thickBot="1" x14ac:dyDescent="0.25">
      <c r="B21" s="40" t="s">
        <v>376</v>
      </c>
      <c r="C21" s="33">
        <f>0.08*C6</f>
        <v>207.17439999999999</v>
      </c>
      <c r="D21" s="33">
        <f>0.08*D6</f>
        <v>207.17439999999999</v>
      </c>
      <c r="F21" s="32" t="s">
        <v>91</v>
      </c>
      <c r="G21" s="6">
        <v>80</v>
      </c>
      <c r="H21" s="21"/>
      <c r="I21" s="56" t="s">
        <v>73</v>
      </c>
      <c r="J21" s="106">
        <f>SUM(G26,J19)</f>
        <v>2756.87</v>
      </c>
      <c r="T21" s="70">
        <v>42637</v>
      </c>
      <c r="U21" t="s">
        <v>413</v>
      </c>
      <c r="V21" s="100">
        <v>37.270000000000003</v>
      </c>
    </row>
    <row r="22" spans="2:26" x14ac:dyDescent="0.2">
      <c r="B22" s="40" t="s">
        <v>44</v>
      </c>
      <c r="C22" s="33">
        <f>0.04*C6</f>
        <v>103.5872</v>
      </c>
      <c r="D22" s="33">
        <f>0.04*D6</f>
        <v>103.5872</v>
      </c>
      <c r="F22" s="32" t="s">
        <v>59</v>
      </c>
      <c r="G22" s="6">
        <v>0</v>
      </c>
      <c r="H22" s="21"/>
      <c r="I22" s="21"/>
      <c r="J22" s="60"/>
      <c r="T22" s="70">
        <v>42639</v>
      </c>
      <c r="U22" t="s">
        <v>234</v>
      </c>
      <c r="V22" s="100">
        <f>20.67</f>
        <v>20.67</v>
      </c>
    </row>
    <row r="23" spans="2:26" x14ac:dyDescent="0.2">
      <c r="B23" s="42" t="s">
        <v>45</v>
      </c>
      <c r="C23" s="23">
        <f>SUM(C21:C22)</f>
        <v>310.76159999999999</v>
      </c>
      <c r="D23" s="49">
        <f>SUM(D21:D22)</f>
        <v>310.76159999999999</v>
      </c>
      <c r="F23" s="32" t="s">
        <v>60</v>
      </c>
      <c r="G23" s="6">
        <v>5.4</v>
      </c>
      <c r="H23" s="21"/>
      <c r="I23" s="21"/>
      <c r="J23" s="60"/>
    </row>
    <row r="24" spans="2:26" ht="16" thickBot="1" x14ac:dyDescent="0.25">
      <c r="B24" s="32"/>
      <c r="C24" s="50">
        <f>C23/C6</f>
        <v>0.12000000000000001</v>
      </c>
      <c r="D24" s="51">
        <f>D23/D6</f>
        <v>0.12000000000000001</v>
      </c>
      <c r="F24" s="36" t="s">
        <v>95</v>
      </c>
      <c r="G24" s="103">
        <v>10.81</v>
      </c>
      <c r="H24" s="21"/>
      <c r="I24" s="21"/>
      <c r="J24" s="60"/>
    </row>
    <row r="25" spans="2:26" ht="16" thickBot="1" x14ac:dyDescent="0.25">
      <c r="B25" s="32"/>
      <c r="C25" s="21"/>
      <c r="D25" s="52">
        <f>SUM(C23:D23)</f>
        <v>621.52319999999997</v>
      </c>
      <c r="F25" s="66" t="s">
        <v>65</v>
      </c>
      <c r="G25" s="54">
        <f>SUM(G18:G24)</f>
        <v>1003.5099999999999</v>
      </c>
      <c r="H25" s="21"/>
      <c r="I25" s="21"/>
      <c r="J25" s="60"/>
    </row>
    <row r="26" spans="2:26" x14ac:dyDescent="0.2">
      <c r="B26" s="36"/>
      <c r="C26" s="19"/>
      <c r="D26" s="53">
        <f>D25/SUM(C6:D6)</f>
        <v>0.12000000000000001</v>
      </c>
      <c r="F26" s="107" t="s">
        <v>64</v>
      </c>
      <c r="G26" s="108">
        <f>SUM(G8,G15,G25)</f>
        <v>1838.6799999999998</v>
      </c>
      <c r="H26" s="19"/>
      <c r="I26" s="19"/>
      <c r="J26" s="67"/>
    </row>
    <row r="27" spans="2:26" ht="16" thickBot="1" x14ac:dyDescent="0.25"/>
    <row r="28" spans="2:26" ht="16" thickBot="1" x14ac:dyDescent="0.25">
      <c r="B28" s="25" t="s">
        <v>46</v>
      </c>
      <c r="C28" s="26">
        <f>C8-C15-C23</f>
        <v>1700.2983999999999</v>
      </c>
      <c r="D28" s="27">
        <f>D8-D15-D23</f>
        <v>1701.1083999999998</v>
      </c>
      <c r="I28" s="25" t="s">
        <v>74</v>
      </c>
      <c r="J28" s="68">
        <f>G5-J21</f>
        <v>18752.2</v>
      </c>
    </row>
    <row r="29" spans="2:26" ht="16" thickBot="1" x14ac:dyDescent="0.25">
      <c r="D29" s="28">
        <f>SUM(C28:D28)</f>
        <v>3401.4067999999997</v>
      </c>
    </row>
    <row r="30" spans="2:26" x14ac:dyDescent="0.2">
      <c r="I30" t="s">
        <v>100</v>
      </c>
      <c r="J30" s="20">
        <f>J28-G2</f>
        <v>644.53680000000168</v>
      </c>
    </row>
    <row r="32" spans="2:26" x14ac:dyDescent="0.2">
      <c r="I32" t="s">
        <v>102</v>
      </c>
      <c r="J32" s="20"/>
    </row>
    <row r="33" spans="9:10" x14ac:dyDescent="0.2">
      <c r="I33" t="s">
        <v>408</v>
      </c>
      <c r="J33" s="100">
        <v>30</v>
      </c>
    </row>
    <row r="34" spans="9:10" x14ac:dyDescent="0.2">
      <c r="I34" t="s">
        <v>416</v>
      </c>
      <c r="J34" s="20">
        <v>1.5</v>
      </c>
    </row>
    <row r="35" spans="9:10" x14ac:dyDescent="0.2">
      <c r="J35" s="20"/>
    </row>
    <row r="36" spans="9:10" x14ac:dyDescent="0.2">
      <c r="J36" s="20"/>
    </row>
  </sheetData>
  <mergeCells count="19">
    <mergeCell ref="AF4:AG4"/>
    <mergeCell ref="L4:M4"/>
    <mergeCell ref="P4:Q4"/>
    <mergeCell ref="T4:U4"/>
    <mergeCell ref="X4:Y4"/>
    <mergeCell ref="AB4:AC4"/>
    <mergeCell ref="AF7:AG7"/>
    <mergeCell ref="L8:M8"/>
    <mergeCell ref="P8:Q8"/>
    <mergeCell ref="T8:U8"/>
    <mergeCell ref="X8:Y8"/>
    <mergeCell ref="AB8:AC8"/>
    <mergeCell ref="AF8:AG8"/>
    <mergeCell ref="AB7:AC7"/>
    <mergeCell ref="L6:M6"/>
    <mergeCell ref="L7:M7"/>
    <mergeCell ref="P7:Q7"/>
    <mergeCell ref="T7:U7"/>
    <mergeCell ref="X7:Y7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H36"/>
  <sheetViews>
    <sheetView zoomScale="80" zoomScaleNormal="80" zoomScalePageLayoutView="80" workbookViewId="0">
      <selection activeCell="I32" sqref="I32:J33"/>
    </sheetView>
  </sheetViews>
  <sheetFormatPr baseColWidth="10" defaultColWidth="8.83203125" defaultRowHeight="15" x14ac:dyDescent="0.2"/>
  <cols>
    <col min="1" max="1" width="1.83203125" customWidth="1"/>
    <col min="2" max="2" width="24.5" bestFit="1" customWidth="1"/>
    <col min="3" max="4" width="14.6640625" customWidth="1"/>
    <col min="5" max="5" width="3.6640625" customWidth="1"/>
    <col min="6" max="6" width="25.83203125" bestFit="1" customWidth="1"/>
    <col min="7" max="7" width="14.6640625" style="3" customWidth="1"/>
    <col min="8" max="8" width="3.5" customWidth="1"/>
    <col min="9" max="9" width="25.5" bestFit="1" customWidth="1"/>
    <col min="10" max="10" width="12.1640625" bestFit="1" customWidth="1"/>
    <col min="11" max="11" width="3.6640625" customWidth="1"/>
    <col min="12" max="12" width="11.5" style="70" customWidth="1"/>
    <col min="13" max="13" width="12" bestFit="1" customWidth="1"/>
    <col min="14" max="14" width="9.5" style="20" bestFit="1" customWidth="1"/>
    <col min="15" max="15" width="2.6640625" customWidth="1"/>
    <col min="16" max="16" width="11.5" style="70" customWidth="1"/>
    <col min="17" max="17" width="11.33203125" bestFit="1" customWidth="1"/>
    <col min="18" max="18" width="8.83203125" style="20"/>
    <col min="19" max="19" width="2.6640625" customWidth="1"/>
    <col min="20" max="20" width="11.5" style="70" customWidth="1"/>
    <col min="21" max="21" width="21.5" bestFit="1" customWidth="1"/>
    <col min="22" max="22" width="10.1640625" style="20" bestFit="1" customWidth="1"/>
    <col min="23" max="23" width="2.6640625" customWidth="1"/>
    <col min="24" max="24" width="11.5" style="70" customWidth="1"/>
    <col min="25" max="25" width="16.33203125" bestFit="1" customWidth="1"/>
    <col min="26" max="26" width="9.5" style="20" bestFit="1" customWidth="1"/>
    <col min="27" max="27" width="2.6640625" customWidth="1"/>
    <col min="28" max="28" width="11.5" style="70" customWidth="1"/>
    <col min="29" max="29" width="19.1640625" bestFit="1" customWidth="1"/>
    <col min="30" max="30" width="9.5" style="20" bestFit="1" customWidth="1"/>
    <col min="31" max="31" width="2.6640625" customWidth="1"/>
    <col min="32" max="32" width="11.5" style="70" customWidth="1"/>
    <col min="33" max="33" width="27" bestFit="1" customWidth="1"/>
    <col min="34" max="34" width="12" style="20" bestFit="1" customWidth="1"/>
  </cols>
  <sheetData>
    <row r="1" spans="2:34" ht="10.5" customHeight="1" thickBot="1" x14ac:dyDescent="0.25"/>
    <row r="2" spans="2:34" ht="16" thickBot="1" x14ac:dyDescent="0.25">
      <c r="B2" s="16" t="s">
        <v>354</v>
      </c>
      <c r="F2" t="s">
        <v>47</v>
      </c>
      <c r="G2" s="3">
        <f>Sep!J28</f>
        <v>18752.2</v>
      </c>
      <c r="I2" s="20"/>
    </row>
    <row r="3" spans="2:34" x14ac:dyDescent="0.2">
      <c r="B3" s="21" t="s">
        <v>38</v>
      </c>
      <c r="C3" s="20">
        <f>C6*24</f>
        <v>62152.319999999992</v>
      </c>
      <c r="F3" s="105" t="s">
        <v>46</v>
      </c>
      <c r="G3" s="15">
        <f>D29</f>
        <v>4411.6562800000002</v>
      </c>
    </row>
    <row r="4" spans="2:34" x14ac:dyDescent="0.2">
      <c r="F4" t="s">
        <v>48</v>
      </c>
      <c r="G4" s="3">
        <f>3+0.6</f>
        <v>3.6</v>
      </c>
      <c r="I4" t="s">
        <v>112</v>
      </c>
      <c r="J4" s="20">
        <f>SUM(N4,R4,V4,Z4,AD4,AH4)</f>
        <v>-2035.6000000000004</v>
      </c>
      <c r="L4" s="134" t="s">
        <v>105</v>
      </c>
      <c r="M4" s="134"/>
      <c r="N4" s="20">
        <f>150-N8</f>
        <v>10.389999999999986</v>
      </c>
      <c r="P4" s="134" t="s">
        <v>106</v>
      </c>
      <c r="Q4" s="134"/>
      <c r="R4" s="20">
        <f>100-R8</f>
        <v>9.8799999999999955</v>
      </c>
      <c r="T4" s="134" t="s">
        <v>107</v>
      </c>
      <c r="U4" s="134"/>
      <c r="V4" s="20">
        <f>200-V8</f>
        <v>-45.319999999999993</v>
      </c>
      <c r="X4" s="134" t="s">
        <v>108</v>
      </c>
      <c r="Y4" s="134"/>
      <c r="Z4" s="20">
        <f>100-Z8</f>
        <v>-66.089999999999975</v>
      </c>
      <c r="AB4" s="134" t="s">
        <v>109</v>
      </c>
      <c r="AC4" s="134"/>
      <c r="AD4" s="20">
        <f>100-AD8</f>
        <v>-58.779999999999973</v>
      </c>
      <c r="AF4" s="134" t="s">
        <v>110</v>
      </c>
      <c r="AG4" s="134"/>
      <c r="AH4" s="20">
        <f>500-AH8</f>
        <v>-1885.6800000000003</v>
      </c>
    </row>
    <row r="5" spans="2:34" ht="16" thickBot="1" x14ac:dyDescent="0.25">
      <c r="B5" s="29" t="s">
        <v>15</v>
      </c>
      <c r="C5" s="30" t="s">
        <v>31</v>
      </c>
      <c r="D5" s="31" t="s">
        <v>32</v>
      </c>
      <c r="F5" s="105" t="s">
        <v>49</v>
      </c>
      <c r="G5" s="15">
        <f>SUM(G2:G4)</f>
        <v>23167.456279999999</v>
      </c>
    </row>
    <row r="6" spans="2:34" ht="16" thickBot="1" x14ac:dyDescent="0.25">
      <c r="B6" s="32" t="s">
        <v>33</v>
      </c>
      <c r="C6" s="103">
        <v>2589.6799999999998</v>
      </c>
      <c r="D6" s="33">
        <v>2589.6799999999998</v>
      </c>
      <c r="L6" s="130" t="s">
        <v>77</v>
      </c>
      <c r="M6" s="130"/>
      <c r="N6" s="72"/>
      <c r="O6" s="17"/>
      <c r="P6" s="73"/>
      <c r="Q6" s="17"/>
      <c r="R6" s="72"/>
      <c r="S6" s="17"/>
      <c r="T6" s="73"/>
      <c r="U6" s="17"/>
      <c r="V6" s="72"/>
      <c r="W6" s="17"/>
      <c r="X6" s="73"/>
      <c r="Y6" s="17"/>
      <c r="Z6" s="72"/>
      <c r="AA6" s="17"/>
      <c r="AB6" s="73"/>
      <c r="AC6" s="17"/>
      <c r="AD6" s="72"/>
      <c r="AE6" s="17"/>
      <c r="AF6" s="73"/>
      <c r="AG6" s="17"/>
      <c r="AH6" s="72"/>
    </row>
    <row r="7" spans="2:34" ht="16" thickBot="1" x14ac:dyDescent="0.25">
      <c r="B7" s="32" t="s">
        <v>34</v>
      </c>
      <c r="C7" s="6">
        <v>0</v>
      </c>
      <c r="D7" s="33">
        <v>1500</v>
      </c>
      <c r="F7" s="57" t="s">
        <v>50</v>
      </c>
      <c r="G7" s="58"/>
      <c r="H7" s="38"/>
      <c r="I7" s="38"/>
      <c r="J7" s="39"/>
      <c r="L7" s="131" t="s">
        <v>62</v>
      </c>
      <c r="M7" s="131"/>
      <c r="P7" s="132" t="s">
        <v>61</v>
      </c>
      <c r="Q7" s="132"/>
      <c r="T7" s="132" t="s">
        <v>68</v>
      </c>
      <c r="U7" s="132"/>
      <c r="X7" s="132" t="s">
        <v>69</v>
      </c>
      <c r="Y7" s="132"/>
      <c r="AB7" s="132" t="s">
        <v>81</v>
      </c>
      <c r="AC7" s="132"/>
      <c r="AF7" s="132" t="s">
        <v>111</v>
      </c>
      <c r="AG7" s="132"/>
    </row>
    <row r="8" spans="2:34" ht="16" thickBot="1" x14ac:dyDescent="0.25">
      <c r="B8" s="34" t="s">
        <v>66</v>
      </c>
      <c r="C8" s="18">
        <f>C6+C7</f>
        <v>2589.6799999999998</v>
      </c>
      <c r="D8" s="35">
        <f>D6+D7</f>
        <v>4089.68</v>
      </c>
      <c r="F8" s="59" t="s">
        <v>90</v>
      </c>
      <c r="G8" s="104">
        <f>700</f>
        <v>700</v>
      </c>
      <c r="H8" s="21"/>
      <c r="I8" s="21"/>
      <c r="J8" s="60"/>
      <c r="L8" s="133" t="s">
        <v>82</v>
      </c>
      <c r="M8" s="133"/>
      <c r="N8" s="71">
        <f>SUM(N10:N50)</f>
        <v>139.61000000000001</v>
      </c>
      <c r="P8" s="133" t="s">
        <v>82</v>
      </c>
      <c r="Q8" s="133"/>
      <c r="R8" s="71">
        <f>SUM(R10:R50)</f>
        <v>90.12</v>
      </c>
      <c r="T8" s="133" t="s">
        <v>82</v>
      </c>
      <c r="U8" s="133"/>
      <c r="V8" s="71">
        <f>SUM(V10:V50)</f>
        <v>245.32</v>
      </c>
      <c r="X8" s="133" t="s">
        <v>82</v>
      </c>
      <c r="Y8" s="133"/>
      <c r="Z8" s="71">
        <f>SUM(Z10:Z50)</f>
        <v>166.08999999999997</v>
      </c>
      <c r="AB8" s="133" t="s">
        <v>82</v>
      </c>
      <c r="AC8" s="133"/>
      <c r="AD8" s="71">
        <f>SUM(AD10:AD50)</f>
        <v>158.77999999999997</v>
      </c>
      <c r="AF8" s="133" t="s">
        <v>82</v>
      </c>
      <c r="AG8" s="133"/>
      <c r="AH8" s="71">
        <f>SUM(AH10:AH50)</f>
        <v>2385.6800000000003</v>
      </c>
    </row>
    <row r="9" spans="2:34" x14ac:dyDescent="0.2">
      <c r="B9" s="36"/>
      <c r="C9" s="19"/>
      <c r="D9" s="37">
        <f>SUM(C8:D8)</f>
        <v>6679.36</v>
      </c>
      <c r="F9" s="32"/>
      <c r="G9" s="6"/>
      <c r="H9" s="21"/>
      <c r="I9" s="21"/>
      <c r="J9" s="60"/>
      <c r="L9" s="74" t="s">
        <v>78</v>
      </c>
      <c r="M9" s="19" t="s">
        <v>79</v>
      </c>
      <c r="N9" s="75" t="s">
        <v>80</v>
      </c>
      <c r="P9" s="74" t="s">
        <v>78</v>
      </c>
      <c r="Q9" s="19" t="s">
        <v>79</v>
      </c>
      <c r="R9" s="75" t="s">
        <v>80</v>
      </c>
      <c r="T9" s="74" t="s">
        <v>78</v>
      </c>
      <c r="U9" s="19" t="s">
        <v>79</v>
      </c>
      <c r="V9" s="75" t="s">
        <v>80</v>
      </c>
      <c r="X9" s="74" t="s">
        <v>78</v>
      </c>
      <c r="Y9" s="19" t="s">
        <v>79</v>
      </c>
      <c r="Z9" s="75" t="s">
        <v>80</v>
      </c>
      <c r="AB9" s="74" t="s">
        <v>78</v>
      </c>
      <c r="AC9" s="19" t="s">
        <v>79</v>
      </c>
      <c r="AD9" s="75" t="s">
        <v>80</v>
      </c>
      <c r="AF9" s="74" t="s">
        <v>78</v>
      </c>
      <c r="AG9" s="19" t="s">
        <v>79</v>
      </c>
      <c r="AH9" s="75" t="s">
        <v>80</v>
      </c>
    </row>
    <row r="10" spans="2:34" ht="16" thickBot="1" x14ac:dyDescent="0.25">
      <c r="F10" s="61" t="s">
        <v>51</v>
      </c>
      <c r="G10" s="6"/>
      <c r="H10" s="21"/>
      <c r="I10" s="17" t="s">
        <v>67</v>
      </c>
      <c r="J10" s="60"/>
      <c r="L10" s="70">
        <v>42652</v>
      </c>
      <c r="M10" t="s">
        <v>425</v>
      </c>
      <c r="N10" s="100">
        <f>32.98</f>
        <v>32.979999999999997</v>
      </c>
      <c r="P10" s="70">
        <v>42647</v>
      </c>
      <c r="Q10" t="s">
        <v>119</v>
      </c>
      <c r="R10" s="100">
        <f>26.07-6.52*3</f>
        <v>6.5100000000000016</v>
      </c>
      <c r="T10" s="70">
        <v>42644</v>
      </c>
      <c r="U10" t="s">
        <v>143</v>
      </c>
      <c r="V10" s="100">
        <v>15</v>
      </c>
      <c r="X10" s="70">
        <v>42644</v>
      </c>
      <c r="Y10" t="s">
        <v>418</v>
      </c>
      <c r="Z10" s="100">
        <f>9</f>
        <v>9</v>
      </c>
      <c r="AB10" s="70">
        <v>42654</v>
      </c>
      <c r="AC10" t="s">
        <v>423</v>
      </c>
      <c r="AD10" s="100">
        <f>123.6</f>
        <v>123.6</v>
      </c>
      <c r="AF10" s="70">
        <v>42654</v>
      </c>
      <c r="AG10" t="s">
        <v>421</v>
      </c>
      <c r="AH10" s="100">
        <f>212.75</f>
        <v>212.75</v>
      </c>
    </row>
    <row r="11" spans="2:34" ht="16" thickBot="1" x14ac:dyDescent="0.25">
      <c r="B11" s="29" t="s">
        <v>41</v>
      </c>
      <c r="C11" s="38"/>
      <c r="D11" s="39"/>
      <c r="F11" s="62" t="s">
        <v>52</v>
      </c>
      <c r="G11" s="6">
        <f>314.43/4</f>
        <v>78.607500000000002</v>
      </c>
      <c r="H11" s="21"/>
      <c r="I11" s="21" t="s">
        <v>62</v>
      </c>
      <c r="J11" s="33">
        <f>N8</f>
        <v>139.61000000000001</v>
      </c>
      <c r="L11" s="70">
        <v>42662</v>
      </c>
      <c r="M11" t="s">
        <v>358</v>
      </c>
      <c r="N11" s="100">
        <f>35.92</f>
        <v>35.92</v>
      </c>
      <c r="P11" s="70">
        <v>42650</v>
      </c>
      <c r="Q11" t="s">
        <v>119</v>
      </c>
      <c r="R11" s="20">
        <v>17.04</v>
      </c>
      <c r="T11" s="70">
        <v>42645</v>
      </c>
      <c r="U11" t="s">
        <v>120</v>
      </c>
      <c r="V11" s="100">
        <f>7.85</f>
        <v>7.85</v>
      </c>
      <c r="X11" s="70">
        <v>42651</v>
      </c>
      <c r="Y11" t="s">
        <v>239</v>
      </c>
      <c r="Z11" s="100">
        <v>11</v>
      </c>
      <c r="AB11" s="70">
        <v>42655</v>
      </c>
      <c r="AC11" t="s">
        <v>188</v>
      </c>
      <c r="AD11" s="20">
        <v>1.08</v>
      </c>
      <c r="AF11" s="70">
        <v>42654</v>
      </c>
      <c r="AG11" t="s">
        <v>422</v>
      </c>
      <c r="AH11" s="100">
        <f>11.85</f>
        <v>11.85</v>
      </c>
    </row>
    <row r="12" spans="2:34" x14ac:dyDescent="0.2">
      <c r="B12" s="40" t="s">
        <v>395</v>
      </c>
      <c r="C12" s="41">
        <v>380.32</v>
      </c>
      <c r="D12" s="41">
        <v>754.7</v>
      </c>
      <c r="F12" s="62" t="s">
        <v>53</v>
      </c>
      <c r="G12" s="6">
        <f>+(34.86+54.89)/4</f>
        <v>22.4375</v>
      </c>
      <c r="H12" s="21"/>
      <c r="I12" s="21" t="s">
        <v>61</v>
      </c>
      <c r="J12" s="33">
        <f>R8</f>
        <v>90.12</v>
      </c>
      <c r="L12" s="70">
        <v>42666</v>
      </c>
      <c r="M12" t="s">
        <v>425</v>
      </c>
      <c r="N12" s="100">
        <f>36.35</f>
        <v>36.35</v>
      </c>
      <c r="P12" s="70">
        <v>42655</v>
      </c>
      <c r="Q12" t="s">
        <v>119</v>
      </c>
      <c r="R12" s="20">
        <v>15.22</v>
      </c>
      <c r="T12" s="70">
        <v>42646</v>
      </c>
      <c r="U12" t="s">
        <v>419</v>
      </c>
      <c r="V12" s="100">
        <f>7.13</f>
        <v>7.13</v>
      </c>
      <c r="X12" s="70">
        <v>42652</v>
      </c>
      <c r="Y12" t="s">
        <v>304</v>
      </c>
      <c r="Z12" s="100">
        <v>18.239999999999998</v>
      </c>
      <c r="AB12" s="70">
        <v>42659</v>
      </c>
      <c r="AC12" t="s">
        <v>426</v>
      </c>
      <c r="AD12" s="20">
        <v>3</v>
      </c>
      <c r="AF12" s="70">
        <v>42655</v>
      </c>
      <c r="AG12" t="s">
        <v>113</v>
      </c>
      <c r="AH12" s="100">
        <f>9.48</f>
        <v>9.48</v>
      </c>
    </row>
    <row r="13" spans="2:34" x14ac:dyDescent="0.2">
      <c r="B13" s="40" t="s">
        <v>35</v>
      </c>
      <c r="C13" s="41">
        <v>160.72</v>
      </c>
      <c r="D13" s="41">
        <f>0.062*D8</f>
        <v>253.56016</v>
      </c>
      <c r="F13" s="62" t="s">
        <v>54</v>
      </c>
      <c r="G13" s="6">
        <f>15.78+18.37</f>
        <v>34.15</v>
      </c>
      <c r="H13" s="21"/>
      <c r="I13" s="21" t="s">
        <v>68</v>
      </c>
      <c r="J13" s="33">
        <f>V8</f>
        <v>245.32</v>
      </c>
      <c r="L13" s="70">
        <v>42672</v>
      </c>
      <c r="M13" t="s">
        <v>431</v>
      </c>
      <c r="N13" s="100">
        <f>34.36</f>
        <v>34.36</v>
      </c>
      <c r="P13" s="70">
        <v>42661</v>
      </c>
      <c r="Q13" t="s">
        <v>119</v>
      </c>
      <c r="R13" s="20">
        <v>32.19</v>
      </c>
      <c r="T13" s="70">
        <v>42650</v>
      </c>
      <c r="U13" t="s">
        <v>141</v>
      </c>
      <c r="V13" s="100">
        <v>9.07</v>
      </c>
      <c r="X13" s="70">
        <v>42652</v>
      </c>
      <c r="Y13" t="s">
        <v>191</v>
      </c>
      <c r="Z13" s="20">
        <f>14+16.24</f>
        <v>30.24</v>
      </c>
      <c r="AB13" s="70">
        <v>42661</v>
      </c>
      <c r="AC13" t="s">
        <v>429</v>
      </c>
      <c r="AD13" s="20">
        <v>6.49</v>
      </c>
      <c r="AF13" s="70">
        <v>42656</v>
      </c>
      <c r="AG13" t="s">
        <v>424</v>
      </c>
      <c r="AH13" s="100">
        <f>9.95</f>
        <v>9.9499999999999993</v>
      </c>
    </row>
    <row r="14" spans="2:34" x14ac:dyDescent="0.2">
      <c r="B14" s="40" t="s">
        <v>36</v>
      </c>
      <c r="C14" s="41">
        <v>37.58</v>
      </c>
      <c r="D14" s="41">
        <f>0.0145*D8</f>
        <v>59.300359999999998</v>
      </c>
      <c r="F14" s="62" t="s">
        <v>55</v>
      </c>
      <c r="G14" s="103">
        <v>0</v>
      </c>
      <c r="H14" s="21"/>
      <c r="I14" s="21" t="s">
        <v>69</v>
      </c>
      <c r="J14" s="33">
        <f>Z8</f>
        <v>166.08999999999997</v>
      </c>
      <c r="P14" s="70">
        <v>42672</v>
      </c>
      <c r="Q14" t="s">
        <v>119</v>
      </c>
      <c r="R14" s="20">
        <v>19.16</v>
      </c>
      <c r="T14" s="70">
        <v>42653</v>
      </c>
      <c r="U14" t="s">
        <v>141</v>
      </c>
      <c r="V14" s="100">
        <f>7.24</f>
        <v>7.24</v>
      </c>
      <c r="X14" s="70">
        <v>42652</v>
      </c>
      <c r="Y14" t="s">
        <v>420</v>
      </c>
      <c r="Z14" s="100">
        <v>16.5</v>
      </c>
      <c r="AB14" s="70">
        <v>42669</v>
      </c>
      <c r="AC14" t="s">
        <v>170</v>
      </c>
      <c r="AD14" s="100">
        <f>12</f>
        <v>12</v>
      </c>
      <c r="AF14" s="70">
        <v>42667</v>
      </c>
      <c r="AG14" t="s">
        <v>430</v>
      </c>
      <c r="AH14" s="100">
        <v>2.79</v>
      </c>
    </row>
    <row r="15" spans="2:34" x14ac:dyDescent="0.2">
      <c r="B15" s="42" t="s">
        <v>39</v>
      </c>
      <c r="C15" s="22">
        <f>SUM(C12:C14)</f>
        <v>578.62</v>
      </c>
      <c r="D15" s="43">
        <f>SUM(D12:D14)</f>
        <v>1067.56052</v>
      </c>
      <c r="F15" s="63" t="s">
        <v>56</v>
      </c>
      <c r="G15" s="104">
        <f>SUM(G11:G14)</f>
        <v>135.19499999999999</v>
      </c>
      <c r="H15" s="21"/>
      <c r="I15" s="21" t="s">
        <v>70</v>
      </c>
      <c r="J15" s="33">
        <f>AD8</f>
        <v>158.77999999999997</v>
      </c>
      <c r="T15" s="70">
        <v>42658</v>
      </c>
      <c r="U15" t="s">
        <v>427</v>
      </c>
      <c r="V15" s="100">
        <v>7</v>
      </c>
      <c r="X15" s="70">
        <v>42659</v>
      </c>
      <c r="Y15" t="s">
        <v>239</v>
      </c>
      <c r="Z15" s="100">
        <f>14</f>
        <v>14</v>
      </c>
      <c r="AB15" s="70">
        <v>42669</v>
      </c>
      <c r="AC15" t="s">
        <v>192</v>
      </c>
      <c r="AD15" s="100">
        <f>12.61</f>
        <v>12.61</v>
      </c>
      <c r="AF15" s="70">
        <v>42672</v>
      </c>
      <c r="AG15" t="s">
        <v>434</v>
      </c>
      <c r="AH15" s="20">
        <f>6</f>
        <v>6</v>
      </c>
    </row>
    <row r="16" spans="2:34" ht="16" thickBot="1" x14ac:dyDescent="0.25">
      <c r="B16" s="40" t="s">
        <v>40</v>
      </c>
      <c r="C16" s="24">
        <f>C15/C8</f>
        <v>0.22343301102838961</v>
      </c>
      <c r="D16" s="44">
        <f>D15/D8</f>
        <v>0.26103766553862406</v>
      </c>
      <c r="F16" s="32"/>
      <c r="G16" s="6"/>
      <c r="H16" s="21"/>
      <c r="I16" s="21" t="s">
        <v>71</v>
      </c>
      <c r="J16" s="33">
        <f>AH8</f>
        <v>2385.6800000000003</v>
      </c>
      <c r="T16" s="70">
        <v>42659</v>
      </c>
      <c r="U16" t="s">
        <v>156</v>
      </c>
      <c r="V16" s="100">
        <f>7.67</f>
        <v>7.67</v>
      </c>
      <c r="X16" s="70">
        <v>42672</v>
      </c>
      <c r="Y16" t="s">
        <v>433</v>
      </c>
      <c r="Z16" s="20">
        <v>27.61</v>
      </c>
      <c r="AF16" s="70">
        <v>42676</v>
      </c>
      <c r="AG16" t="s">
        <v>438</v>
      </c>
      <c r="AH16" s="20">
        <f>1955+177.86</f>
        <v>2132.86</v>
      </c>
    </row>
    <row r="17" spans="2:26" ht="16" thickBot="1" x14ac:dyDescent="0.25">
      <c r="B17" s="40"/>
      <c r="C17" s="24"/>
      <c r="D17" s="45">
        <f>SUM(C15:D15)</f>
        <v>1646.1805199999999</v>
      </c>
      <c r="F17" s="65" t="s">
        <v>63</v>
      </c>
      <c r="G17" s="6"/>
      <c r="H17" s="21"/>
      <c r="I17" s="77" t="s">
        <v>94</v>
      </c>
      <c r="J17" s="33">
        <f>0.92+0.93+1.32+0.51</f>
        <v>3.6799999999999997</v>
      </c>
      <c r="T17" s="70">
        <v>42659</v>
      </c>
      <c r="U17" t="s">
        <v>428</v>
      </c>
      <c r="V17" s="100">
        <f>24.51</f>
        <v>24.51</v>
      </c>
      <c r="X17" s="70">
        <v>42673</v>
      </c>
      <c r="Y17" t="s">
        <v>302</v>
      </c>
      <c r="Z17" s="100">
        <f>39.5</f>
        <v>39.5</v>
      </c>
    </row>
    <row r="18" spans="2:26" x14ac:dyDescent="0.2">
      <c r="B18" s="46"/>
      <c r="C18" s="47"/>
      <c r="D18" s="48">
        <f>D17/D9</f>
        <v>0.24645782230632873</v>
      </c>
      <c r="F18" s="32" t="s">
        <v>101</v>
      </c>
      <c r="G18" s="6">
        <v>497.3</v>
      </c>
      <c r="H18" s="21"/>
      <c r="I18" s="77" t="s">
        <v>102</v>
      </c>
      <c r="J18" s="33">
        <f>SUM(J33:J34)</f>
        <v>24.92</v>
      </c>
      <c r="T18" s="70">
        <v>42660</v>
      </c>
      <c r="U18" t="s">
        <v>419</v>
      </c>
      <c r="V18" s="100">
        <f>6.52</f>
        <v>6.52</v>
      </c>
      <c r="Z18" s="100"/>
    </row>
    <row r="19" spans="2:26" x14ac:dyDescent="0.2">
      <c r="F19" s="32" t="s">
        <v>57</v>
      </c>
      <c r="G19" s="6">
        <v>320</v>
      </c>
      <c r="H19" s="21"/>
      <c r="I19" s="55" t="s">
        <v>72</v>
      </c>
      <c r="J19" s="64">
        <f>SUM(J11:J18)</f>
        <v>3214.2000000000003</v>
      </c>
      <c r="T19" s="70">
        <v>42665</v>
      </c>
      <c r="U19" t="s">
        <v>141</v>
      </c>
      <c r="V19" s="100">
        <f>11.8</f>
        <v>11.8</v>
      </c>
    </row>
    <row r="20" spans="2:26" ht="16" thickBot="1" x14ac:dyDescent="0.25">
      <c r="B20" s="29" t="s">
        <v>42</v>
      </c>
      <c r="C20" s="38"/>
      <c r="D20" s="39"/>
      <c r="F20" s="32" t="s">
        <v>58</v>
      </c>
      <c r="G20" s="6">
        <v>90</v>
      </c>
      <c r="H20" s="21"/>
      <c r="I20" s="21"/>
      <c r="J20" s="33"/>
      <c r="T20" s="70">
        <v>42670</v>
      </c>
      <c r="U20" t="s">
        <v>116</v>
      </c>
      <c r="V20" s="100">
        <f>8.61</f>
        <v>8.61</v>
      </c>
    </row>
    <row r="21" spans="2:26" ht="16" thickBot="1" x14ac:dyDescent="0.25">
      <c r="B21" s="40" t="s">
        <v>376</v>
      </c>
      <c r="C21" s="33">
        <f>0.08*C6</f>
        <v>207.17439999999999</v>
      </c>
      <c r="D21" s="33">
        <f>0.08*D6</f>
        <v>207.17439999999999</v>
      </c>
      <c r="F21" s="32" t="s">
        <v>91</v>
      </c>
      <c r="G21" s="6">
        <v>80</v>
      </c>
      <c r="H21" s="21"/>
      <c r="I21" s="56" t="s">
        <v>73</v>
      </c>
      <c r="J21" s="106">
        <f>SUM(G26,J19)</f>
        <v>5052.9050000000007</v>
      </c>
      <c r="T21" s="70">
        <v>42671</v>
      </c>
      <c r="U21" t="s">
        <v>432</v>
      </c>
      <c r="V21" s="100">
        <v>5.4</v>
      </c>
    </row>
    <row r="22" spans="2:26" x14ac:dyDescent="0.2">
      <c r="B22" s="40" t="s">
        <v>44</v>
      </c>
      <c r="C22" s="33">
        <f>0.04*C6</f>
        <v>103.5872</v>
      </c>
      <c r="D22" s="33">
        <f>0.04*D6</f>
        <v>103.5872</v>
      </c>
      <c r="F22" s="32" t="s">
        <v>59</v>
      </c>
      <c r="G22" s="6">
        <v>0</v>
      </c>
      <c r="H22" s="21"/>
      <c r="I22" s="21"/>
      <c r="J22" s="60"/>
      <c r="T22" s="70">
        <v>42672</v>
      </c>
      <c r="U22" t="s">
        <v>293</v>
      </c>
      <c r="V22" s="100">
        <v>7.04</v>
      </c>
    </row>
    <row r="23" spans="2:26" x14ac:dyDescent="0.2">
      <c r="B23" s="42" t="s">
        <v>45</v>
      </c>
      <c r="C23" s="23">
        <f>SUM(C21:C22)</f>
        <v>310.76159999999999</v>
      </c>
      <c r="D23" s="49">
        <f>SUM(D21:D22)</f>
        <v>310.76159999999999</v>
      </c>
      <c r="F23" s="32" t="s">
        <v>60</v>
      </c>
      <c r="G23" s="6">
        <v>5.4</v>
      </c>
      <c r="H23" s="21"/>
      <c r="I23" s="21"/>
      <c r="J23" s="60"/>
      <c r="T23" s="70">
        <v>42673</v>
      </c>
      <c r="U23" t="s">
        <v>435</v>
      </c>
      <c r="V23" s="100">
        <f>39.31</f>
        <v>39.31</v>
      </c>
    </row>
    <row r="24" spans="2:26" ht="16" thickBot="1" x14ac:dyDescent="0.25">
      <c r="B24" s="32"/>
      <c r="C24" s="50">
        <f>C23/C6</f>
        <v>0.12000000000000001</v>
      </c>
      <c r="D24" s="51">
        <f>D23/D6</f>
        <v>0.12000000000000001</v>
      </c>
      <c r="F24" s="36" t="s">
        <v>95</v>
      </c>
      <c r="G24" s="103">
        <f>10.81</f>
        <v>10.81</v>
      </c>
      <c r="H24" s="21"/>
      <c r="I24" s="21"/>
      <c r="J24" s="60"/>
      <c r="T24" s="70">
        <v>42673</v>
      </c>
      <c r="U24" t="s">
        <v>436</v>
      </c>
      <c r="V24" s="100">
        <f>81.17</f>
        <v>81.17</v>
      </c>
    </row>
    <row r="25" spans="2:26" ht="16" thickBot="1" x14ac:dyDescent="0.25">
      <c r="B25" s="32"/>
      <c r="C25" s="21"/>
      <c r="D25" s="52">
        <f>SUM(C23:D23)</f>
        <v>621.52319999999997</v>
      </c>
      <c r="F25" s="66" t="s">
        <v>65</v>
      </c>
      <c r="G25" s="54">
        <f>SUM(G18:G24)</f>
        <v>1003.5099999999999</v>
      </c>
      <c r="H25" s="21"/>
      <c r="I25" s="21"/>
      <c r="J25" s="60"/>
    </row>
    <row r="26" spans="2:26" x14ac:dyDescent="0.2">
      <c r="B26" s="36"/>
      <c r="C26" s="19"/>
      <c r="D26" s="53">
        <f>D25/SUM(C6:D6)</f>
        <v>0.12000000000000001</v>
      </c>
      <c r="F26" s="107" t="s">
        <v>64</v>
      </c>
      <c r="G26" s="108">
        <f>SUM(G8,G15,G25)</f>
        <v>1838.7049999999999</v>
      </c>
      <c r="H26" s="19"/>
      <c r="I26" s="19"/>
      <c r="J26" s="67"/>
    </row>
    <row r="27" spans="2:26" ht="16" thickBot="1" x14ac:dyDescent="0.25"/>
    <row r="28" spans="2:26" ht="16" thickBot="1" x14ac:dyDescent="0.25">
      <c r="B28" s="25" t="s">
        <v>46</v>
      </c>
      <c r="C28" s="26">
        <f>C8-C15-C23</f>
        <v>1700.2983999999999</v>
      </c>
      <c r="D28" s="27">
        <f>D8-D15-D23</f>
        <v>2711.35788</v>
      </c>
      <c r="I28" s="25" t="s">
        <v>74</v>
      </c>
      <c r="J28" s="68">
        <f>G5-J21</f>
        <v>18114.55128</v>
      </c>
    </row>
    <row r="29" spans="2:26" ht="16" thickBot="1" x14ac:dyDescent="0.25">
      <c r="D29" s="28">
        <f>SUM(C28:D28)</f>
        <v>4411.6562800000002</v>
      </c>
    </row>
    <row r="30" spans="2:26" x14ac:dyDescent="0.2">
      <c r="I30" t="s">
        <v>100</v>
      </c>
      <c r="J30" s="20">
        <f>J28-G2</f>
        <v>-637.64872000000105</v>
      </c>
    </row>
    <row r="32" spans="2:26" x14ac:dyDescent="0.2">
      <c r="I32" t="s">
        <v>102</v>
      </c>
      <c r="J32" s="20"/>
    </row>
    <row r="33" spans="9:10" x14ac:dyDescent="0.2">
      <c r="I33" t="s">
        <v>437</v>
      </c>
      <c r="J33" s="100">
        <f>24.92</f>
        <v>24.92</v>
      </c>
    </row>
    <row r="34" spans="9:10" x14ac:dyDescent="0.2">
      <c r="J34" s="20"/>
    </row>
    <row r="35" spans="9:10" x14ac:dyDescent="0.2">
      <c r="J35" s="20"/>
    </row>
    <row r="36" spans="9:10" x14ac:dyDescent="0.2">
      <c r="J36" s="20"/>
    </row>
  </sheetData>
  <mergeCells count="19">
    <mergeCell ref="AF4:AG4"/>
    <mergeCell ref="L4:M4"/>
    <mergeCell ref="P4:Q4"/>
    <mergeCell ref="T4:U4"/>
    <mergeCell ref="X4:Y4"/>
    <mergeCell ref="AB4:AC4"/>
    <mergeCell ref="AF7:AG7"/>
    <mergeCell ref="L8:M8"/>
    <mergeCell ref="P8:Q8"/>
    <mergeCell ref="T8:U8"/>
    <mergeCell ref="X8:Y8"/>
    <mergeCell ref="AB8:AC8"/>
    <mergeCell ref="AF8:AG8"/>
    <mergeCell ref="AB7:AC7"/>
    <mergeCell ref="L6:M6"/>
    <mergeCell ref="L7:M7"/>
    <mergeCell ref="P7:Q7"/>
    <mergeCell ref="T7:U7"/>
    <mergeCell ref="X7:Y7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H36"/>
  <sheetViews>
    <sheetView zoomScale="80" zoomScaleNormal="80" zoomScalePageLayoutView="80" workbookViewId="0">
      <selection activeCell="M18" sqref="M18"/>
    </sheetView>
  </sheetViews>
  <sheetFormatPr baseColWidth="10" defaultColWidth="8.83203125" defaultRowHeight="15" x14ac:dyDescent="0.2"/>
  <cols>
    <col min="1" max="1" width="1.83203125" customWidth="1"/>
    <col min="2" max="2" width="24.5" bestFit="1" customWidth="1"/>
    <col min="3" max="4" width="14.6640625" customWidth="1"/>
    <col min="5" max="5" width="3.6640625" customWidth="1"/>
    <col min="6" max="6" width="25.83203125" bestFit="1" customWidth="1"/>
    <col min="7" max="7" width="14.6640625" style="3" customWidth="1"/>
    <col min="8" max="8" width="3.5" customWidth="1"/>
    <col min="9" max="9" width="25.5" bestFit="1" customWidth="1"/>
    <col min="10" max="10" width="12.1640625" bestFit="1" customWidth="1"/>
    <col min="11" max="11" width="3.6640625" customWidth="1"/>
    <col min="12" max="12" width="11.5" style="70" customWidth="1"/>
    <col min="13" max="13" width="12" bestFit="1" customWidth="1"/>
    <col min="14" max="14" width="9.5" style="20" bestFit="1" customWidth="1"/>
    <col min="15" max="15" width="2.6640625" customWidth="1"/>
    <col min="16" max="16" width="11.5" style="70" customWidth="1"/>
    <col min="17" max="17" width="11.33203125" bestFit="1" customWidth="1"/>
    <col min="18" max="18" width="10.33203125" style="20" bestFit="1" customWidth="1"/>
    <col min="19" max="19" width="2.6640625" customWidth="1"/>
    <col min="20" max="20" width="11.5" style="70" customWidth="1"/>
    <col min="21" max="21" width="20.5" bestFit="1" customWidth="1"/>
    <col min="22" max="22" width="9.5" style="20" bestFit="1" customWidth="1"/>
    <col min="23" max="23" width="2.6640625" customWidth="1"/>
    <col min="24" max="24" width="11.5" style="70" customWidth="1"/>
    <col min="25" max="25" width="19.1640625" bestFit="1" customWidth="1"/>
    <col min="26" max="26" width="9.5" style="20" bestFit="1" customWidth="1"/>
    <col min="27" max="27" width="2.6640625" customWidth="1"/>
    <col min="28" max="28" width="11.5" style="70" customWidth="1"/>
    <col min="29" max="29" width="19.1640625" bestFit="1" customWidth="1"/>
    <col min="30" max="30" width="9.5" style="20" bestFit="1" customWidth="1"/>
    <col min="31" max="31" width="2.6640625" customWidth="1"/>
    <col min="32" max="32" width="11.5" style="70" customWidth="1"/>
    <col min="33" max="33" width="25" bestFit="1" customWidth="1"/>
    <col min="34" max="34" width="9.5" style="20" bestFit="1" customWidth="1"/>
  </cols>
  <sheetData>
    <row r="1" spans="2:34" ht="10.5" customHeight="1" thickBot="1" x14ac:dyDescent="0.25"/>
    <row r="2" spans="2:34" ht="16" thickBot="1" x14ac:dyDescent="0.25">
      <c r="B2" s="16" t="s">
        <v>355</v>
      </c>
      <c r="F2" t="s">
        <v>47</v>
      </c>
      <c r="G2" s="3">
        <f>Oct!J28</f>
        <v>18114.55128</v>
      </c>
      <c r="I2" s="20"/>
    </row>
    <row r="3" spans="2:34" x14ac:dyDescent="0.2">
      <c r="B3" s="21" t="s">
        <v>38</v>
      </c>
      <c r="C3" s="20">
        <f>C6*24</f>
        <v>62152.319999999992</v>
      </c>
      <c r="F3" s="105" t="s">
        <v>46</v>
      </c>
      <c r="G3" s="15">
        <f>D29</f>
        <v>3401.4067999999997</v>
      </c>
    </row>
    <row r="4" spans="2:34" x14ac:dyDescent="0.2">
      <c r="F4" t="s">
        <v>48</v>
      </c>
      <c r="G4" s="3">
        <v>0</v>
      </c>
      <c r="I4" t="s">
        <v>112</v>
      </c>
      <c r="J4" s="20">
        <f>SUM(N4,R4,V4,Z4,AD4,AH4)</f>
        <v>8.829999999999913</v>
      </c>
      <c r="L4" s="134" t="s">
        <v>105</v>
      </c>
      <c r="M4" s="134"/>
      <c r="N4" s="20">
        <f>150-N8</f>
        <v>45.72</v>
      </c>
      <c r="P4" s="134" t="s">
        <v>106</v>
      </c>
      <c r="Q4" s="134"/>
      <c r="R4" s="20">
        <f>100-R8</f>
        <v>-106.17000000000002</v>
      </c>
      <c r="T4" s="134" t="s">
        <v>107</v>
      </c>
      <c r="U4" s="134"/>
      <c r="V4" s="20">
        <f>200-V8</f>
        <v>-10.790000000000049</v>
      </c>
      <c r="X4" s="134" t="s">
        <v>108</v>
      </c>
      <c r="Y4" s="134"/>
      <c r="Z4" s="20">
        <f>100-Z8</f>
        <v>-25.760000000000005</v>
      </c>
      <c r="AB4" s="134" t="s">
        <v>109</v>
      </c>
      <c r="AC4" s="134"/>
      <c r="AD4" s="20">
        <f>100-AD8</f>
        <v>80</v>
      </c>
      <c r="AF4" s="134" t="s">
        <v>110</v>
      </c>
      <c r="AG4" s="134"/>
      <c r="AH4" s="20">
        <f>300-AH8</f>
        <v>25.829999999999984</v>
      </c>
    </row>
    <row r="5" spans="2:34" ht="16" thickBot="1" x14ac:dyDescent="0.25">
      <c r="B5" s="29" t="s">
        <v>15</v>
      </c>
      <c r="C5" s="30" t="s">
        <v>31</v>
      </c>
      <c r="D5" s="31" t="s">
        <v>32</v>
      </c>
      <c r="F5" s="105" t="s">
        <v>49</v>
      </c>
      <c r="G5" s="15">
        <f>SUM(G2:G4)</f>
        <v>21515.95808</v>
      </c>
    </row>
    <row r="6" spans="2:34" ht="16" thickBot="1" x14ac:dyDescent="0.25">
      <c r="B6" s="32" t="s">
        <v>33</v>
      </c>
      <c r="C6" s="103">
        <v>2589.6799999999998</v>
      </c>
      <c r="D6" s="33">
        <v>2589.6799999999998</v>
      </c>
      <c r="L6" s="130" t="s">
        <v>77</v>
      </c>
      <c r="M6" s="130"/>
      <c r="N6" s="72"/>
      <c r="O6" s="17"/>
      <c r="P6" s="73"/>
      <c r="Q6" s="17"/>
      <c r="R6" s="72"/>
      <c r="S6" s="17"/>
      <c r="T6" s="73"/>
      <c r="U6" s="17"/>
      <c r="V6" s="72"/>
      <c r="W6" s="17"/>
      <c r="X6" s="73"/>
      <c r="Y6" s="17"/>
      <c r="Z6" s="72"/>
      <c r="AA6" s="17"/>
      <c r="AB6" s="73"/>
      <c r="AC6" s="17"/>
      <c r="AD6" s="72"/>
      <c r="AE6" s="17"/>
      <c r="AF6" s="73"/>
      <c r="AG6" s="17"/>
      <c r="AH6" s="72"/>
    </row>
    <row r="7" spans="2:34" ht="16" thickBot="1" x14ac:dyDescent="0.25">
      <c r="B7" s="32" t="s">
        <v>34</v>
      </c>
      <c r="C7" s="6">
        <v>0</v>
      </c>
      <c r="D7" s="33">
        <v>0</v>
      </c>
      <c r="F7" s="57" t="s">
        <v>50</v>
      </c>
      <c r="G7" s="58"/>
      <c r="H7" s="38"/>
      <c r="I7" s="38"/>
      <c r="J7" s="39"/>
      <c r="L7" s="131" t="s">
        <v>62</v>
      </c>
      <c r="M7" s="131"/>
      <c r="P7" s="132" t="s">
        <v>61</v>
      </c>
      <c r="Q7" s="132"/>
      <c r="T7" s="132" t="s">
        <v>68</v>
      </c>
      <c r="U7" s="132"/>
      <c r="X7" s="132" t="s">
        <v>69</v>
      </c>
      <c r="Y7" s="132"/>
      <c r="AB7" s="132" t="s">
        <v>81</v>
      </c>
      <c r="AC7" s="132"/>
      <c r="AF7" s="132" t="s">
        <v>111</v>
      </c>
      <c r="AG7" s="132"/>
    </row>
    <row r="8" spans="2:34" ht="16" thickBot="1" x14ac:dyDescent="0.25">
      <c r="B8" s="34" t="s">
        <v>66</v>
      </c>
      <c r="C8" s="18">
        <f>C6+C7</f>
        <v>2589.6799999999998</v>
      </c>
      <c r="D8" s="35">
        <f>D6+D7</f>
        <v>2589.6799999999998</v>
      </c>
      <c r="F8" s="59" t="s">
        <v>90</v>
      </c>
      <c r="G8" s="104">
        <v>700</v>
      </c>
      <c r="H8" s="21"/>
      <c r="I8" s="21"/>
      <c r="J8" s="60"/>
      <c r="L8" s="133" t="s">
        <v>82</v>
      </c>
      <c r="M8" s="133"/>
      <c r="N8" s="71">
        <f>SUM(N10:N50)</f>
        <v>104.28</v>
      </c>
      <c r="P8" s="133" t="s">
        <v>82</v>
      </c>
      <c r="Q8" s="133"/>
      <c r="R8" s="71">
        <f>SUM(R10:R50)</f>
        <v>206.17000000000002</v>
      </c>
      <c r="T8" s="133" t="s">
        <v>82</v>
      </c>
      <c r="U8" s="133"/>
      <c r="V8" s="71">
        <f>SUM(V10:V50)</f>
        <v>210.79000000000005</v>
      </c>
      <c r="X8" s="133" t="s">
        <v>82</v>
      </c>
      <c r="Y8" s="133"/>
      <c r="Z8" s="71">
        <f>SUM(Z10:Z50)</f>
        <v>125.76</v>
      </c>
      <c r="AB8" s="133" t="s">
        <v>82</v>
      </c>
      <c r="AC8" s="133"/>
      <c r="AD8" s="71">
        <f>SUM(AD10:AD50)</f>
        <v>20</v>
      </c>
      <c r="AF8" s="133" t="s">
        <v>82</v>
      </c>
      <c r="AG8" s="133"/>
      <c r="AH8" s="71">
        <f>SUM(AH10:AH50)</f>
        <v>274.17</v>
      </c>
    </row>
    <row r="9" spans="2:34" x14ac:dyDescent="0.2">
      <c r="B9" s="36"/>
      <c r="C9" s="19"/>
      <c r="D9" s="37">
        <f>SUM(C8:D8)</f>
        <v>5179.3599999999997</v>
      </c>
      <c r="F9" s="32"/>
      <c r="G9" s="6"/>
      <c r="H9" s="21"/>
      <c r="I9" s="21"/>
      <c r="J9" s="60"/>
      <c r="L9" s="74" t="s">
        <v>78</v>
      </c>
      <c r="M9" s="19" t="s">
        <v>79</v>
      </c>
      <c r="N9" s="75" t="s">
        <v>80</v>
      </c>
      <c r="P9" s="74" t="s">
        <v>78</v>
      </c>
      <c r="Q9" s="19" t="s">
        <v>79</v>
      </c>
      <c r="R9" s="75" t="s">
        <v>80</v>
      </c>
      <c r="T9" s="74" t="s">
        <v>78</v>
      </c>
      <c r="U9" s="19" t="s">
        <v>79</v>
      </c>
      <c r="V9" s="75" t="s">
        <v>80</v>
      </c>
      <c r="X9" s="74" t="s">
        <v>78</v>
      </c>
      <c r="Y9" s="19" t="s">
        <v>79</v>
      </c>
      <c r="Z9" s="75" t="s">
        <v>80</v>
      </c>
      <c r="AB9" s="74" t="s">
        <v>78</v>
      </c>
      <c r="AC9" s="19" t="s">
        <v>79</v>
      </c>
      <c r="AD9" s="75" t="s">
        <v>80</v>
      </c>
      <c r="AF9" s="74" t="s">
        <v>78</v>
      </c>
      <c r="AG9" s="19" t="s">
        <v>79</v>
      </c>
      <c r="AH9" s="75" t="s">
        <v>80</v>
      </c>
    </row>
    <row r="10" spans="2:34" ht="16" thickBot="1" x14ac:dyDescent="0.25">
      <c r="F10" s="61" t="s">
        <v>51</v>
      </c>
      <c r="G10" s="6"/>
      <c r="H10" s="21"/>
      <c r="I10" s="17" t="s">
        <v>67</v>
      </c>
      <c r="J10" s="60"/>
      <c r="L10" s="70">
        <v>42683</v>
      </c>
      <c r="M10" t="s">
        <v>387</v>
      </c>
      <c r="N10" s="100">
        <f>40.02</f>
        <v>40.020000000000003</v>
      </c>
      <c r="P10" s="70">
        <v>42677</v>
      </c>
      <c r="Q10" t="s">
        <v>119</v>
      </c>
      <c r="R10" s="20">
        <v>13.98</v>
      </c>
      <c r="T10" s="70">
        <v>42675</v>
      </c>
      <c r="U10" t="s">
        <v>141</v>
      </c>
      <c r="V10" s="100">
        <f>12.21</f>
        <v>12.21</v>
      </c>
      <c r="X10" s="70">
        <v>42685</v>
      </c>
      <c r="Y10" t="s">
        <v>443</v>
      </c>
      <c r="Z10" s="100">
        <f>23.01</f>
        <v>23.01</v>
      </c>
      <c r="AB10" s="70">
        <v>42689</v>
      </c>
      <c r="AC10" t="s">
        <v>447</v>
      </c>
      <c r="AD10" s="100">
        <f>20</f>
        <v>20</v>
      </c>
      <c r="AF10" s="70">
        <v>42681</v>
      </c>
      <c r="AG10" t="s">
        <v>309</v>
      </c>
      <c r="AH10" s="100">
        <v>5</v>
      </c>
    </row>
    <row r="11" spans="2:34" ht="16" thickBot="1" x14ac:dyDescent="0.25">
      <c r="B11" s="29" t="s">
        <v>41</v>
      </c>
      <c r="C11" s="38"/>
      <c r="D11" s="39"/>
      <c r="F11" s="62" t="s">
        <v>52</v>
      </c>
      <c r="G11" s="6">
        <f>155.82/4</f>
        <v>38.954999999999998</v>
      </c>
      <c r="H11" s="21"/>
      <c r="I11" s="21" t="s">
        <v>62</v>
      </c>
      <c r="J11" s="33">
        <f>N8</f>
        <v>104.28</v>
      </c>
      <c r="L11" s="70">
        <v>42695</v>
      </c>
      <c r="M11" t="s">
        <v>119</v>
      </c>
      <c r="N11" s="100">
        <f>32.26</f>
        <v>32.26</v>
      </c>
      <c r="P11" s="70">
        <v>42678</v>
      </c>
      <c r="Q11" t="s">
        <v>119</v>
      </c>
      <c r="R11" s="100">
        <v>23</v>
      </c>
      <c r="T11" s="70">
        <v>42676</v>
      </c>
      <c r="U11" t="s">
        <v>403</v>
      </c>
      <c r="V11" s="100">
        <v>6.75</v>
      </c>
      <c r="X11" s="70">
        <v>42686</v>
      </c>
      <c r="Y11" t="s">
        <v>238</v>
      </c>
      <c r="Z11" s="100">
        <v>7.5</v>
      </c>
      <c r="AF11" s="70">
        <v>42681</v>
      </c>
      <c r="AG11" t="s">
        <v>441</v>
      </c>
      <c r="AH11" s="100">
        <f>12.43+11.36</f>
        <v>23.79</v>
      </c>
    </row>
    <row r="12" spans="2:34" x14ac:dyDescent="0.2">
      <c r="B12" s="40" t="s">
        <v>395</v>
      </c>
      <c r="C12" s="41">
        <v>380.32</v>
      </c>
      <c r="D12" s="41">
        <v>379.7</v>
      </c>
      <c r="F12" s="62" t="s">
        <v>53</v>
      </c>
      <c r="G12" s="6">
        <f>(33.85+52.9)/4</f>
        <v>21.6875</v>
      </c>
      <c r="H12" s="21"/>
      <c r="I12" s="21" t="s">
        <v>61</v>
      </c>
      <c r="J12" s="33">
        <f>R8</f>
        <v>206.17000000000002</v>
      </c>
      <c r="L12" s="70">
        <v>42699</v>
      </c>
      <c r="M12" t="s">
        <v>337</v>
      </c>
      <c r="N12" s="100">
        <v>32</v>
      </c>
      <c r="P12" s="70">
        <v>42683</v>
      </c>
      <c r="Q12" t="s">
        <v>119</v>
      </c>
      <c r="R12" s="100">
        <f>50.27</f>
        <v>50.27</v>
      </c>
      <c r="T12" s="70">
        <v>42679</v>
      </c>
      <c r="U12" t="s">
        <v>439</v>
      </c>
      <c r="V12" s="20">
        <v>12.81</v>
      </c>
      <c r="X12" s="70">
        <v>42686</v>
      </c>
      <c r="Y12" t="s">
        <v>444</v>
      </c>
      <c r="Z12" s="100">
        <f>18</f>
        <v>18</v>
      </c>
      <c r="AF12" s="70">
        <v>42688</v>
      </c>
      <c r="AG12" t="s">
        <v>442</v>
      </c>
      <c r="AH12" s="100">
        <f>41.14</f>
        <v>41.14</v>
      </c>
    </row>
    <row r="13" spans="2:34" x14ac:dyDescent="0.2">
      <c r="B13" s="40" t="s">
        <v>35</v>
      </c>
      <c r="C13" s="41">
        <v>160.71</v>
      </c>
      <c r="D13" s="41">
        <v>160.56</v>
      </c>
      <c r="F13" s="62" t="s">
        <v>54</v>
      </c>
      <c r="G13" s="6">
        <f>76.42-60.64+6.32</f>
        <v>22.1</v>
      </c>
      <c r="H13" s="21"/>
      <c r="I13" s="21" t="s">
        <v>68</v>
      </c>
      <c r="J13" s="33">
        <f>V8</f>
        <v>210.79000000000005</v>
      </c>
      <c r="P13" s="70">
        <v>42691</v>
      </c>
      <c r="Q13" t="s">
        <v>119</v>
      </c>
      <c r="R13" s="100">
        <f>23.68</f>
        <v>23.68</v>
      </c>
      <c r="T13" s="70">
        <v>42680</v>
      </c>
      <c r="U13" t="s">
        <v>440</v>
      </c>
      <c r="V13" s="100">
        <v>8.52</v>
      </c>
      <c r="X13" s="70">
        <v>42687</v>
      </c>
      <c r="Y13" t="s">
        <v>446</v>
      </c>
      <c r="Z13" s="100">
        <f>7.5+7+5.5</f>
        <v>20</v>
      </c>
      <c r="AF13" s="70">
        <v>42694</v>
      </c>
      <c r="AG13" t="s">
        <v>449</v>
      </c>
      <c r="AH13" s="100">
        <v>32.46</v>
      </c>
    </row>
    <row r="14" spans="2:34" x14ac:dyDescent="0.2">
      <c r="B14" s="40" t="s">
        <v>36</v>
      </c>
      <c r="C14" s="41">
        <v>37.590000000000003</v>
      </c>
      <c r="D14" s="41">
        <v>37.549999999999997</v>
      </c>
      <c r="F14" s="62" t="s">
        <v>55</v>
      </c>
      <c r="G14" s="103">
        <v>0</v>
      </c>
      <c r="H14" s="21"/>
      <c r="I14" s="21" t="s">
        <v>69</v>
      </c>
      <c r="J14" s="33">
        <f>Z8</f>
        <v>125.76</v>
      </c>
      <c r="P14" s="70">
        <v>42693</v>
      </c>
      <c r="Q14" t="s">
        <v>119</v>
      </c>
      <c r="R14" s="20">
        <v>2.69</v>
      </c>
      <c r="T14" s="70">
        <v>42681</v>
      </c>
      <c r="U14" t="s">
        <v>141</v>
      </c>
      <c r="V14" s="100">
        <v>8.1199999999999992</v>
      </c>
      <c r="X14" s="70">
        <v>42693</v>
      </c>
      <c r="Y14" t="s">
        <v>380</v>
      </c>
      <c r="Z14" s="100">
        <v>9</v>
      </c>
      <c r="AF14" s="70">
        <v>42694</v>
      </c>
      <c r="AG14" t="s">
        <v>453</v>
      </c>
      <c r="AH14" s="100">
        <f>20</f>
        <v>20</v>
      </c>
    </row>
    <row r="15" spans="2:34" x14ac:dyDescent="0.2">
      <c r="B15" s="42" t="s">
        <v>39</v>
      </c>
      <c r="C15" s="22">
        <f>SUM(C12:C14)</f>
        <v>578.62</v>
      </c>
      <c r="D15" s="43">
        <f>SUM(D12:D14)</f>
        <v>577.80999999999995</v>
      </c>
      <c r="F15" s="63" t="s">
        <v>56</v>
      </c>
      <c r="G15" s="104">
        <f>SUM(G11:G14)</f>
        <v>82.742500000000007</v>
      </c>
      <c r="H15" s="21"/>
      <c r="I15" s="21" t="s">
        <v>70</v>
      </c>
      <c r="J15" s="33">
        <f>AD8</f>
        <v>20</v>
      </c>
      <c r="P15" s="70">
        <v>42697</v>
      </c>
      <c r="Q15" t="s">
        <v>456</v>
      </c>
      <c r="R15" s="20">
        <v>8.59</v>
      </c>
      <c r="T15" s="70">
        <v>42686</v>
      </c>
      <c r="U15" t="s">
        <v>161</v>
      </c>
      <c r="V15" s="100">
        <f>7.56</f>
        <v>7.56</v>
      </c>
      <c r="X15" s="70">
        <v>42694</v>
      </c>
      <c r="Y15" t="s">
        <v>302</v>
      </c>
      <c r="Z15" s="100">
        <v>9.5</v>
      </c>
      <c r="AF15" s="70">
        <v>42696</v>
      </c>
      <c r="AG15" t="s">
        <v>455</v>
      </c>
      <c r="AH15" s="20">
        <f>13.4+23.36</f>
        <v>36.76</v>
      </c>
    </row>
    <row r="16" spans="2:34" ht="16" thickBot="1" x14ac:dyDescent="0.25">
      <c r="B16" s="40" t="s">
        <v>40</v>
      </c>
      <c r="C16" s="24">
        <f>C15/C8</f>
        <v>0.22343301102838961</v>
      </c>
      <c r="D16" s="44">
        <f>D15/D8</f>
        <v>0.22312023107102036</v>
      </c>
      <c r="F16" s="32"/>
      <c r="G16" s="6"/>
      <c r="H16" s="21"/>
      <c r="I16" s="21" t="s">
        <v>71</v>
      </c>
      <c r="J16" s="33">
        <f>AH8</f>
        <v>274.17</v>
      </c>
      <c r="P16" s="70">
        <v>42699</v>
      </c>
      <c r="Q16" t="s">
        <v>351</v>
      </c>
      <c r="R16" s="20">
        <v>5.54</v>
      </c>
      <c r="T16" s="70">
        <v>42686</v>
      </c>
      <c r="U16" t="s">
        <v>406</v>
      </c>
      <c r="V16" s="100">
        <f>10.81</f>
        <v>10.81</v>
      </c>
      <c r="X16" s="70">
        <v>42694</v>
      </c>
      <c r="Y16" t="s">
        <v>448</v>
      </c>
      <c r="Z16" s="20">
        <f>14+9.75</f>
        <v>23.75</v>
      </c>
      <c r="AF16" s="70">
        <v>42700</v>
      </c>
      <c r="AG16" t="s">
        <v>459</v>
      </c>
      <c r="AH16" s="20">
        <v>2.44</v>
      </c>
    </row>
    <row r="17" spans="2:34" ht="16" thickBot="1" x14ac:dyDescent="0.25">
      <c r="B17" s="40"/>
      <c r="C17" s="24"/>
      <c r="D17" s="45">
        <f>SUM(C15:D15)</f>
        <v>1156.4299999999998</v>
      </c>
      <c r="F17" s="65" t="s">
        <v>63</v>
      </c>
      <c r="G17" s="6"/>
      <c r="H17" s="21"/>
      <c r="I17" s="77" t="s">
        <v>94</v>
      </c>
      <c r="J17" s="33">
        <f>0.21+1.88+6.09+1+0.55</f>
        <v>9.73</v>
      </c>
      <c r="P17" s="70">
        <v>42702</v>
      </c>
      <c r="Q17" t="s">
        <v>119</v>
      </c>
      <c r="R17" s="100">
        <f>65.05</f>
        <v>65.05</v>
      </c>
      <c r="T17" s="70">
        <v>42690</v>
      </c>
      <c r="U17" t="s">
        <v>284</v>
      </c>
      <c r="V17" s="20">
        <v>6.49</v>
      </c>
      <c r="X17" s="70">
        <v>42694</v>
      </c>
      <c r="Y17" t="s">
        <v>239</v>
      </c>
      <c r="Z17" s="20">
        <v>15</v>
      </c>
      <c r="AF17" s="70">
        <v>42701</v>
      </c>
      <c r="AG17" t="s">
        <v>454</v>
      </c>
      <c r="AH17" s="20">
        <v>112.58</v>
      </c>
    </row>
    <row r="18" spans="2:34" x14ac:dyDescent="0.2">
      <c r="B18" s="46"/>
      <c r="C18" s="47"/>
      <c r="D18" s="48">
        <f>D17/D9</f>
        <v>0.22327662104970497</v>
      </c>
      <c r="F18" s="32" t="s">
        <v>101</v>
      </c>
      <c r="G18" s="6">
        <v>497.3</v>
      </c>
      <c r="H18" s="21"/>
      <c r="I18" s="77" t="s">
        <v>102</v>
      </c>
      <c r="J18" s="33">
        <f>SUM(J33:J35)</f>
        <v>10</v>
      </c>
      <c r="P18" s="70">
        <v>42703</v>
      </c>
      <c r="Q18" t="s">
        <v>119</v>
      </c>
      <c r="R18" s="20">
        <v>13.37</v>
      </c>
      <c r="T18" s="70">
        <v>42693</v>
      </c>
      <c r="U18" t="s">
        <v>141</v>
      </c>
      <c r="V18" s="20">
        <v>21.57</v>
      </c>
      <c r="Z18" s="100"/>
    </row>
    <row r="19" spans="2:34" x14ac:dyDescent="0.2">
      <c r="F19" s="32" t="s">
        <v>57</v>
      </c>
      <c r="G19" s="6">
        <v>320</v>
      </c>
      <c r="H19" s="21"/>
      <c r="I19" s="55" t="s">
        <v>72</v>
      </c>
      <c r="J19" s="64">
        <f>SUM(J11:J18)</f>
        <v>960.90000000000009</v>
      </c>
      <c r="T19" s="70">
        <v>42693</v>
      </c>
      <c r="U19" t="s">
        <v>151</v>
      </c>
      <c r="V19" s="20">
        <v>10.81</v>
      </c>
    </row>
    <row r="20" spans="2:34" ht="16" thickBot="1" x14ac:dyDescent="0.25">
      <c r="B20" s="29" t="s">
        <v>42</v>
      </c>
      <c r="C20" s="38"/>
      <c r="D20" s="39"/>
      <c r="F20" s="32" t="s">
        <v>58</v>
      </c>
      <c r="G20" s="6">
        <v>90</v>
      </c>
      <c r="H20" s="21"/>
      <c r="I20" s="21"/>
      <c r="J20" s="33"/>
      <c r="T20" s="70">
        <v>42694</v>
      </c>
      <c r="U20" t="s">
        <v>156</v>
      </c>
      <c r="V20" s="20">
        <f>35.45-13</f>
        <v>22.450000000000003</v>
      </c>
    </row>
    <row r="21" spans="2:34" ht="16" thickBot="1" x14ac:dyDescent="0.25">
      <c r="B21" s="40" t="s">
        <v>376</v>
      </c>
      <c r="C21" s="33">
        <f>0.08*C6</f>
        <v>207.17439999999999</v>
      </c>
      <c r="D21" s="33">
        <f>0.08*D6</f>
        <v>207.17439999999999</v>
      </c>
      <c r="F21" s="32" t="s">
        <v>91</v>
      </c>
      <c r="G21" s="6">
        <v>100</v>
      </c>
      <c r="H21" s="21"/>
      <c r="I21" s="56" t="s">
        <v>73</v>
      </c>
      <c r="J21" s="106">
        <f>SUM(G26,J19)</f>
        <v>2767.1525000000001</v>
      </c>
      <c r="T21" s="70">
        <v>42694</v>
      </c>
      <c r="U21" t="s">
        <v>450</v>
      </c>
      <c r="V21" s="100">
        <f>11</f>
        <v>11</v>
      </c>
    </row>
    <row r="22" spans="2:34" x14ac:dyDescent="0.2">
      <c r="B22" s="40" t="s">
        <v>44</v>
      </c>
      <c r="C22" s="33">
        <f>0.04*C6</f>
        <v>103.5872</v>
      </c>
      <c r="D22" s="33">
        <f>0.04*D6</f>
        <v>103.5872</v>
      </c>
      <c r="F22" s="32" t="s">
        <v>59</v>
      </c>
      <c r="G22" s="6">
        <v>0</v>
      </c>
      <c r="H22" s="21"/>
      <c r="I22" s="21"/>
      <c r="J22" s="60"/>
      <c r="T22" s="70">
        <v>42694</v>
      </c>
      <c r="U22" t="s">
        <v>451</v>
      </c>
      <c r="V22" s="100">
        <f>8.93</f>
        <v>8.93</v>
      </c>
    </row>
    <row r="23" spans="2:34" x14ac:dyDescent="0.2">
      <c r="B23" s="42" t="s">
        <v>45</v>
      </c>
      <c r="C23" s="23">
        <f>SUM(C21:C22)</f>
        <v>310.76159999999999</v>
      </c>
      <c r="D23" s="49">
        <f>SUM(D21:D22)</f>
        <v>310.76159999999999</v>
      </c>
      <c r="F23" s="32" t="s">
        <v>60</v>
      </c>
      <c r="G23" s="6">
        <v>5.4</v>
      </c>
      <c r="H23" s="21"/>
      <c r="I23" s="21"/>
      <c r="J23" s="60"/>
      <c r="T23" s="70">
        <v>42695</v>
      </c>
      <c r="U23" t="s">
        <v>452</v>
      </c>
      <c r="V23" s="100">
        <f>6</f>
        <v>6</v>
      </c>
    </row>
    <row r="24" spans="2:34" ht="16" thickBot="1" x14ac:dyDescent="0.25">
      <c r="B24" s="32"/>
      <c r="C24" s="50">
        <f>C23/C6</f>
        <v>0.12000000000000001</v>
      </c>
      <c r="D24" s="51">
        <f>D23/D6</f>
        <v>0.12000000000000001</v>
      </c>
      <c r="F24" s="36" t="s">
        <v>95</v>
      </c>
      <c r="G24" s="103">
        <v>10.81</v>
      </c>
      <c r="H24" s="21"/>
      <c r="I24" s="21"/>
      <c r="J24" s="60"/>
      <c r="T24" s="70">
        <v>42699</v>
      </c>
      <c r="U24" t="s">
        <v>135</v>
      </c>
      <c r="V24" s="20">
        <v>31.17</v>
      </c>
    </row>
    <row r="25" spans="2:34" ht="16" thickBot="1" x14ac:dyDescent="0.25">
      <c r="B25" s="32"/>
      <c r="C25" s="21"/>
      <c r="D25" s="52">
        <f>SUM(C23:D23)</f>
        <v>621.52319999999997</v>
      </c>
      <c r="F25" s="66" t="s">
        <v>65</v>
      </c>
      <c r="G25" s="54">
        <f>SUM(G18:G24)</f>
        <v>1023.5099999999999</v>
      </c>
      <c r="H25" s="21"/>
      <c r="I25" s="21"/>
      <c r="J25" s="60"/>
      <c r="T25" s="70">
        <v>42700</v>
      </c>
      <c r="U25" t="s">
        <v>457</v>
      </c>
      <c r="V25" s="20">
        <v>8.6</v>
      </c>
    </row>
    <row r="26" spans="2:34" x14ac:dyDescent="0.2">
      <c r="B26" s="36"/>
      <c r="C26" s="19"/>
      <c r="D26" s="53">
        <f>D25/SUM(C6:D6)</f>
        <v>0.12000000000000001</v>
      </c>
      <c r="F26" s="107" t="s">
        <v>64</v>
      </c>
      <c r="G26" s="108">
        <f>SUM(G8,G15,G25)</f>
        <v>1806.2525000000001</v>
      </c>
      <c r="H26" s="19"/>
      <c r="I26" s="19"/>
      <c r="J26" s="67"/>
      <c r="T26" s="70">
        <v>42700</v>
      </c>
      <c r="U26" t="s">
        <v>458</v>
      </c>
      <c r="V26" s="20">
        <v>6.96</v>
      </c>
    </row>
    <row r="27" spans="2:34" ht="16" thickBot="1" x14ac:dyDescent="0.25">
      <c r="T27" s="70">
        <v>42700</v>
      </c>
      <c r="U27" t="s">
        <v>179</v>
      </c>
      <c r="V27" s="20">
        <f>20.03-10</f>
        <v>10.030000000000001</v>
      </c>
    </row>
    <row r="28" spans="2:34" ht="16" thickBot="1" x14ac:dyDescent="0.25">
      <c r="B28" s="25" t="s">
        <v>46</v>
      </c>
      <c r="C28" s="26">
        <f>C8-C15-C23</f>
        <v>1700.2983999999999</v>
      </c>
      <c r="D28" s="27">
        <f>D8-D15-D23</f>
        <v>1701.1083999999998</v>
      </c>
      <c r="I28" s="25" t="s">
        <v>74</v>
      </c>
      <c r="J28" s="68">
        <f>G5-J21</f>
        <v>18748.80558</v>
      </c>
    </row>
    <row r="29" spans="2:34" ht="16" thickBot="1" x14ac:dyDescent="0.25">
      <c r="D29" s="28">
        <f>SUM(C28:D28)</f>
        <v>3401.4067999999997</v>
      </c>
    </row>
    <row r="30" spans="2:34" x14ac:dyDescent="0.2">
      <c r="I30" t="s">
        <v>100</v>
      </c>
      <c r="J30" s="20">
        <f>J28-G2</f>
        <v>634.25430000000051</v>
      </c>
    </row>
    <row r="32" spans="2:34" x14ac:dyDescent="0.2">
      <c r="I32" t="s">
        <v>102</v>
      </c>
      <c r="J32" s="20"/>
    </row>
    <row r="33" spans="9:10" x14ac:dyDescent="0.2">
      <c r="I33" t="s">
        <v>445</v>
      </c>
      <c r="J33" s="100">
        <f>10</f>
        <v>10</v>
      </c>
    </row>
    <row r="34" spans="9:10" x14ac:dyDescent="0.2">
      <c r="J34" s="20"/>
    </row>
    <row r="35" spans="9:10" x14ac:dyDescent="0.2">
      <c r="J35" s="20"/>
    </row>
    <row r="36" spans="9:10" x14ac:dyDescent="0.2">
      <c r="J36" s="20"/>
    </row>
  </sheetData>
  <mergeCells count="19">
    <mergeCell ref="AF4:AG4"/>
    <mergeCell ref="L4:M4"/>
    <mergeCell ref="P4:Q4"/>
    <mergeCell ref="T4:U4"/>
    <mergeCell ref="X4:Y4"/>
    <mergeCell ref="AB4:AC4"/>
    <mergeCell ref="AF7:AG7"/>
    <mergeCell ref="L8:M8"/>
    <mergeCell ref="P8:Q8"/>
    <mergeCell ref="T8:U8"/>
    <mergeCell ref="X8:Y8"/>
    <mergeCell ref="AB8:AC8"/>
    <mergeCell ref="AF8:AG8"/>
    <mergeCell ref="AB7:AC7"/>
    <mergeCell ref="L6:M6"/>
    <mergeCell ref="L7:M7"/>
    <mergeCell ref="P7:Q7"/>
    <mergeCell ref="T7:U7"/>
    <mergeCell ref="X7:Y7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H36"/>
  <sheetViews>
    <sheetView tabSelected="1" zoomScale="80" zoomScaleNormal="80" zoomScalePageLayoutView="80" workbookViewId="0">
      <selection activeCell="Q19" sqref="Q19"/>
    </sheetView>
  </sheetViews>
  <sheetFormatPr baseColWidth="10" defaultColWidth="8.83203125" defaultRowHeight="15" x14ac:dyDescent="0.2"/>
  <cols>
    <col min="1" max="1" width="1.83203125" customWidth="1"/>
    <col min="2" max="2" width="24.5" bestFit="1" customWidth="1"/>
    <col min="3" max="4" width="14.6640625" customWidth="1"/>
    <col min="5" max="5" width="3.6640625" customWidth="1"/>
    <col min="6" max="6" width="25.83203125" bestFit="1" customWidth="1"/>
    <col min="7" max="7" width="14.6640625" style="3" customWidth="1"/>
    <col min="8" max="8" width="3.5" customWidth="1"/>
    <col min="9" max="9" width="25.5" bestFit="1" customWidth="1"/>
    <col min="10" max="10" width="12.1640625" bestFit="1" customWidth="1"/>
    <col min="11" max="11" width="3.6640625" customWidth="1"/>
    <col min="12" max="12" width="11.5" style="70" customWidth="1"/>
    <col min="13" max="13" width="12" bestFit="1" customWidth="1"/>
    <col min="14" max="14" width="9.5" style="20" bestFit="1" customWidth="1"/>
    <col min="15" max="15" width="2.6640625" customWidth="1"/>
    <col min="16" max="16" width="11.5" style="70" customWidth="1"/>
    <col min="17" max="17" width="16" bestFit="1" customWidth="1"/>
    <col min="18" max="18" width="9.5" style="20" bestFit="1" customWidth="1"/>
    <col min="19" max="19" width="2.6640625" customWidth="1"/>
    <col min="20" max="20" width="11.5" style="70" customWidth="1"/>
    <col min="21" max="21" width="17.6640625" bestFit="1" customWidth="1"/>
    <col min="22" max="22" width="10.1640625" style="20" bestFit="1" customWidth="1"/>
    <col min="23" max="23" width="2.6640625" customWidth="1"/>
    <col min="24" max="24" width="11.5" style="70" customWidth="1"/>
    <col min="25" max="25" width="16.5" bestFit="1" customWidth="1"/>
    <col min="26" max="26" width="10.83203125" style="20" customWidth="1"/>
    <col min="27" max="27" width="2.6640625" customWidth="1"/>
    <col min="28" max="28" width="11.5" style="70" customWidth="1"/>
    <col min="29" max="29" width="22" bestFit="1" customWidth="1"/>
    <col min="30" max="30" width="9.5" style="20" bestFit="1" customWidth="1"/>
    <col min="31" max="31" width="2.6640625" customWidth="1"/>
    <col min="32" max="32" width="11.5" style="70" customWidth="1"/>
    <col min="33" max="33" width="25" bestFit="1" customWidth="1"/>
    <col min="34" max="34" width="9.5" style="20" bestFit="1" customWidth="1"/>
  </cols>
  <sheetData>
    <row r="1" spans="2:34" ht="10.5" customHeight="1" thickBot="1" x14ac:dyDescent="0.25"/>
    <row r="2" spans="2:34" ht="16" thickBot="1" x14ac:dyDescent="0.25">
      <c r="B2" s="16" t="s">
        <v>356</v>
      </c>
      <c r="F2" t="s">
        <v>47</v>
      </c>
      <c r="G2" s="3">
        <f>Nov!J28</f>
        <v>18748.80558</v>
      </c>
      <c r="I2" s="20"/>
    </row>
    <row r="3" spans="2:34" x14ac:dyDescent="0.2">
      <c r="B3" s="21" t="s">
        <v>38</v>
      </c>
      <c r="C3" s="20">
        <f>C6*24</f>
        <v>62152.319999999992</v>
      </c>
      <c r="F3" s="105" t="s">
        <v>46</v>
      </c>
      <c r="G3" s="15">
        <f>D29</f>
        <v>1700.2883999999997</v>
      </c>
    </row>
    <row r="4" spans="2:34" x14ac:dyDescent="0.2">
      <c r="F4" t="s">
        <v>48</v>
      </c>
      <c r="G4" s="3">
        <v>0</v>
      </c>
      <c r="I4" t="s">
        <v>112</v>
      </c>
      <c r="J4" s="20">
        <f>SUM(N4,R4,V4,Z4,AD4,AH4)</f>
        <v>187.27999999999997</v>
      </c>
      <c r="L4" s="134" t="s">
        <v>105</v>
      </c>
      <c r="M4" s="134"/>
      <c r="N4" s="20">
        <f>150-N8</f>
        <v>72.88</v>
      </c>
      <c r="P4" s="134" t="s">
        <v>106</v>
      </c>
      <c r="Q4" s="134"/>
      <c r="R4" s="20">
        <f>100-R8</f>
        <v>60.63</v>
      </c>
      <c r="T4" s="134" t="s">
        <v>107</v>
      </c>
      <c r="U4" s="134"/>
      <c r="V4" s="20">
        <f>200-V8</f>
        <v>95.649999999999991</v>
      </c>
      <c r="X4" s="134" t="s">
        <v>108</v>
      </c>
      <c r="Y4" s="134"/>
      <c r="Z4" s="20">
        <f>100-Z8</f>
        <v>-127.50999999999999</v>
      </c>
      <c r="AB4" s="134" t="s">
        <v>109</v>
      </c>
      <c r="AC4" s="134"/>
      <c r="AD4" s="20">
        <f>100-AD8</f>
        <v>-5</v>
      </c>
      <c r="AF4" s="134" t="s">
        <v>110</v>
      </c>
      <c r="AG4" s="134"/>
      <c r="AH4" s="20">
        <f>300-AH8</f>
        <v>90.63</v>
      </c>
    </row>
    <row r="5" spans="2:34" ht="16" thickBot="1" x14ac:dyDescent="0.25">
      <c r="B5" s="29" t="s">
        <v>15</v>
      </c>
      <c r="C5" s="30" t="s">
        <v>31</v>
      </c>
      <c r="D5" s="31" t="s">
        <v>32</v>
      </c>
      <c r="F5" s="105" t="s">
        <v>49</v>
      </c>
      <c r="G5" s="15">
        <f>SUM(G2:G4)</f>
        <v>20449.093980000001</v>
      </c>
    </row>
    <row r="6" spans="2:34" ht="16" thickBot="1" x14ac:dyDescent="0.25">
      <c r="B6" s="32" t="s">
        <v>33</v>
      </c>
      <c r="C6" s="103">
        <v>2589.6799999999998</v>
      </c>
      <c r="D6" s="33">
        <v>0</v>
      </c>
      <c r="L6" s="130" t="s">
        <v>77</v>
      </c>
      <c r="M6" s="130"/>
      <c r="N6" s="72"/>
      <c r="O6" s="17"/>
      <c r="P6" s="73"/>
      <c r="Q6" s="17"/>
      <c r="R6" s="72"/>
      <c r="S6" s="17"/>
      <c r="T6" s="73"/>
      <c r="U6" s="17"/>
      <c r="V6" s="72"/>
      <c r="W6" s="17"/>
      <c r="X6" s="73"/>
      <c r="Y6" s="17"/>
      <c r="Z6" s="72"/>
      <c r="AA6" s="17"/>
      <c r="AB6" s="73"/>
      <c r="AC6" s="17"/>
      <c r="AD6" s="72"/>
      <c r="AE6" s="17"/>
      <c r="AF6" s="73"/>
      <c r="AG6" s="17"/>
      <c r="AH6" s="72"/>
    </row>
    <row r="7" spans="2:34" ht="16" thickBot="1" x14ac:dyDescent="0.25">
      <c r="B7" s="32" t="s">
        <v>34</v>
      </c>
      <c r="C7" s="6">
        <v>0</v>
      </c>
      <c r="D7" s="33">
        <v>0</v>
      </c>
      <c r="F7" s="57" t="s">
        <v>50</v>
      </c>
      <c r="G7" s="58"/>
      <c r="H7" s="38"/>
      <c r="I7" s="38"/>
      <c r="J7" s="39"/>
      <c r="L7" s="131" t="s">
        <v>62</v>
      </c>
      <c r="M7" s="131"/>
      <c r="P7" s="132" t="s">
        <v>61</v>
      </c>
      <c r="Q7" s="132"/>
      <c r="T7" s="132" t="s">
        <v>68</v>
      </c>
      <c r="U7" s="132"/>
      <c r="X7" s="132" t="s">
        <v>69</v>
      </c>
      <c r="Y7" s="132"/>
      <c r="AB7" s="132" t="s">
        <v>81</v>
      </c>
      <c r="AC7" s="132"/>
      <c r="AF7" s="132" t="s">
        <v>111</v>
      </c>
      <c r="AG7" s="132"/>
    </row>
    <row r="8" spans="2:34" ht="16" thickBot="1" x14ac:dyDescent="0.25">
      <c r="B8" s="34" t="s">
        <v>66</v>
      </c>
      <c r="C8" s="18">
        <f>C6+C7</f>
        <v>2589.6799999999998</v>
      </c>
      <c r="D8" s="35">
        <f>D6+D7</f>
        <v>0</v>
      </c>
      <c r="F8" s="59" t="s">
        <v>90</v>
      </c>
      <c r="G8" s="104">
        <v>700</v>
      </c>
      <c r="H8" s="21"/>
      <c r="I8" s="21"/>
      <c r="J8" s="60"/>
      <c r="L8" s="133" t="s">
        <v>82</v>
      </c>
      <c r="M8" s="133"/>
      <c r="N8" s="71">
        <f>SUM(N10:N50)</f>
        <v>77.12</v>
      </c>
      <c r="P8" s="133" t="s">
        <v>82</v>
      </c>
      <c r="Q8" s="133"/>
      <c r="R8" s="71">
        <f>SUM(R10:R50)</f>
        <v>39.369999999999997</v>
      </c>
      <c r="T8" s="133" t="s">
        <v>82</v>
      </c>
      <c r="U8" s="133"/>
      <c r="V8" s="71">
        <f>SUM(V10:V50)</f>
        <v>104.35000000000001</v>
      </c>
      <c r="X8" s="133" t="s">
        <v>82</v>
      </c>
      <c r="Y8" s="133"/>
      <c r="Z8" s="71">
        <f>SUM(Z10:Z50)</f>
        <v>227.51</v>
      </c>
      <c r="AB8" s="133" t="s">
        <v>82</v>
      </c>
      <c r="AC8" s="133"/>
      <c r="AD8" s="71">
        <f>SUM(AD10:AD50)</f>
        <v>105</v>
      </c>
      <c r="AF8" s="133" t="s">
        <v>82</v>
      </c>
      <c r="AG8" s="133"/>
      <c r="AH8" s="71">
        <f>SUM(AH10:AH50)</f>
        <v>209.37</v>
      </c>
    </row>
    <row r="9" spans="2:34" x14ac:dyDescent="0.2">
      <c r="B9" s="36"/>
      <c r="C9" s="19"/>
      <c r="D9" s="37">
        <f>SUM(C8:D8)</f>
        <v>2589.6799999999998</v>
      </c>
      <c r="F9" s="32"/>
      <c r="G9" s="6"/>
      <c r="H9" s="21"/>
      <c r="I9" s="21"/>
      <c r="J9" s="60"/>
      <c r="L9" s="74" t="s">
        <v>78</v>
      </c>
      <c r="M9" s="19" t="s">
        <v>79</v>
      </c>
      <c r="N9" s="75" t="s">
        <v>80</v>
      </c>
      <c r="P9" s="74" t="s">
        <v>78</v>
      </c>
      <c r="Q9" s="19" t="s">
        <v>79</v>
      </c>
      <c r="R9" s="75" t="s">
        <v>80</v>
      </c>
      <c r="T9" s="74" t="s">
        <v>78</v>
      </c>
      <c r="U9" s="19" t="s">
        <v>79</v>
      </c>
      <c r="V9" s="75" t="s">
        <v>80</v>
      </c>
      <c r="X9" s="74" t="s">
        <v>78</v>
      </c>
      <c r="Y9" s="19" t="s">
        <v>79</v>
      </c>
      <c r="Z9" s="75" t="s">
        <v>80</v>
      </c>
      <c r="AB9" s="74" t="s">
        <v>78</v>
      </c>
      <c r="AC9" s="19" t="s">
        <v>79</v>
      </c>
      <c r="AD9" s="75" t="s">
        <v>80</v>
      </c>
      <c r="AF9" s="74" t="s">
        <v>78</v>
      </c>
      <c r="AG9" s="19" t="s">
        <v>79</v>
      </c>
      <c r="AH9" s="75" t="s">
        <v>80</v>
      </c>
    </row>
    <row r="10" spans="2:34" ht="16" thickBot="1" x14ac:dyDescent="0.25">
      <c r="F10" s="61" t="s">
        <v>51</v>
      </c>
      <c r="G10" s="6"/>
      <c r="H10" s="21"/>
      <c r="I10" s="17" t="s">
        <v>67</v>
      </c>
      <c r="J10" s="60"/>
      <c r="L10" s="70">
        <v>42711</v>
      </c>
      <c r="M10" t="s">
        <v>387</v>
      </c>
      <c r="N10" s="100">
        <v>39.76</v>
      </c>
      <c r="P10" s="70">
        <v>42710</v>
      </c>
      <c r="Q10" t="s">
        <v>119</v>
      </c>
      <c r="R10" s="100">
        <f>8.02</f>
        <v>8.02</v>
      </c>
      <c r="T10" s="70">
        <v>42706</v>
      </c>
      <c r="U10" t="s">
        <v>461</v>
      </c>
      <c r="V10" s="100">
        <v>10.82</v>
      </c>
      <c r="X10" s="70">
        <v>42706</v>
      </c>
      <c r="Y10" t="s">
        <v>179</v>
      </c>
      <c r="Z10" s="20">
        <v>5</v>
      </c>
      <c r="AB10" s="70">
        <v>42705</v>
      </c>
      <c r="AC10" t="s">
        <v>460</v>
      </c>
      <c r="AD10" s="100">
        <v>95</v>
      </c>
      <c r="AF10" s="70">
        <v>42715</v>
      </c>
      <c r="AG10" t="s">
        <v>473</v>
      </c>
      <c r="AH10" s="100">
        <f>2.91</f>
        <v>2.91</v>
      </c>
    </row>
    <row r="11" spans="2:34" ht="16" thickBot="1" x14ac:dyDescent="0.25">
      <c r="B11" s="29" t="s">
        <v>41</v>
      </c>
      <c r="C11" s="38"/>
      <c r="D11" s="39"/>
      <c r="F11" s="62" t="s">
        <v>52</v>
      </c>
      <c r="G11" s="6">
        <f>122.69/4</f>
        <v>30.672499999999999</v>
      </c>
      <c r="H11" s="21"/>
      <c r="I11" s="21" t="s">
        <v>62</v>
      </c>
      <c r="J11" s="33">
        <f>N8</f>
        <v>77.12</v>
      </c>
      <c r="L11" s="70">
        <v>42724</v>
      </c>
      <c r="M11" t="s">
        <v>482</v>
      </c>
      <c r="N11" s="100">
        <f>37.36</f>
        <v>37.36</v>
      </c>
      <c r="P11" s="70">
        <v>42716</v>
      </c>
      <c r="Q11" t="s">
        <v>474</v>
      </c>
      <c r="R11" s="20">
        <v>10</v>
      </c>
      <c r="T11" s="70">
        <v>42708</v>
      </c>
      <c r="U11" t="s">
        <v>463</v>
      </c>
      <c r="V11" s="100">
        <v>10</v>
      </c>
      <c r="X11" s="70">
        <v>42708</v>
      </c>
      <c r="Y11" t="s">
        <v>463</v>
      </c>
      <c r="Z11" s="100">
        <v>5.66</v>
      </c>
      <c r="AB11" s="70">
        <v>42725</v>
      </c>
      <c r="AC11" t="s">
        <v>170</v>
      </c>
      <c r="AD11" s="100">
        <f>10</f>
        <v>10</v>
      </c>
      <c r="AF11" s="70">
        <v>42716</v>
      </c>
      <c r="AG11" t="s">
        <v>476</v>
      </c>
      <c r="AH11" s="100">
        <f>43.35</f>
        <v>43.35</v>
      </c>
    </row>
    <row r="12" spans="2:34" x14ac:dyDescent="0.2">
      <c r="B12" s="40" t="s">
        <v>395</v>
      </c>
      <c r="C12" s="41">
        <v>380.32</v>
      </c>
      <c r="D12" s="41">
        <f>0.146*D8</f>
        <v>0</v>
      </c>
      <c r="F12" s="62" t="s">
        <v>53</v>
      </c>
      <c r="G12" s="6">
        <f>+(53.68+73.69)/4</f>
        <v>31.842500000000001</v>
      </c>
      <c r="H12" s="21"/>
      <c r="I12" s="21" t="s">
        <v>61</v>
      </c>
      <c r="J12" s="33">
        <f>R8</f>
        <v>39.369999999999997</v>
      </c>
      <c r="N12" s="100"/>
      <c r="P12" s="70">
        <v>42718</v>
      </c>
      <c r="Q12" t="s">
        <v>119</v>
      </c>
      <c r="R12" s="20">
        <v>5.98</v>
      </c>
      <c r="T12" s="70">
        <v>42711</v>
      </c>
      <c r="U12" t="s">
        <v>465</v>
      </c>
      <c r="V12" s="100">
        <v>16.02</v>
      </c>
      <c r="X12" s="70">
        <v>42712</v>
      </c>
      <c r="Y12" t="s">
        <v>466</v>
      </c>
      <c r="Z12" s="100">
        <v>14.51</v>
      </c>
      <c r="AF12" s="70">
        <v>42716</v>
      </c>
      <c r="AG12" t="s">
        <v>477</v>
      </c>
      <c r="AH12" s="20">
        <v>30</v>
      </c>
    </row>
    <row r="13" spans="2:34" x14ac:dyDescent="0.2">
      <c r="B13" s="40" t="s">
        <v>35</v>
      </c>
      <c r="C13" s="41">
        <v>160.72</v>
      </c>
      <c r="D13" s="41">
        <f>0.062*D8</f>
        <v>0</v>
      </c>
      <c r="F13" s="62" t="s">
        <v>54</v>
      </c>
      <c r="G13" s="6">
        <f>16.53+8.55</f>
        <v>25.080000000000002</v>
      </c>
      <c r="H13" s="21"/>
      <c r="I13" s="21" t="s">
        <v>68</v>
      </c>
      <c r="J13" s="33">
        <f>V8</f>
        <v>104.35000000000001</v>
      </c>
      <c r="P13" s="70">
        <v>42721</v>
      </c>
      <c r="Q13" t="s">
        <v>119</v>
      </c>
      <c r="R13" s="20">
        <v>15.37</v>
      </c>
      <c r="T13" s="70">
        <v>42712</v>
      </c>
      <c r="U13" t="s">
        <v>120</v>
      </c>
      <c r="V13" s="100">
        <f>7.85</f>
        <v>7.85</v>
      </c>
      <c r="X13" s="70">
        <v>42713</v>
      </c>
      <c r="Y13" t="s">
        <v>469</v>
      </c>
      <c r="Z13" s="20">
        <v>20.190000000000001</v>
      </c>
      <c r="AF13" s="70">
        <v>42717</v>
      </c>
      <c r="AG13" t="s">
        <v>478</v>
      </c>
      <c r="AH13" s="100">
        <f>5.14+12.23</f>
        <v>17.37</v>
      </c>
    </row>
    <row r="14" spans="2:34" x14ac:dyDescent="0.2">
      <c r="B14" s="40" t="s">
        <v>36</v>
      </c>
      <c r="C14" s="41">
        <v>37.590000000000003</v>
      </c>
      <c r="D14" s="41">
        <f>0.0145*D8</f>
        <v>0</v>
      </c>
      <c r="F14" s="62" t="s">
        <v>55</v>
      </c>
      <c r="G14" s="103">
        <v>0</v>
      </c>
      <c r="H14" s="21"/>
      <c r="I14" s="21" t="s">
        <v>69</v>
      </c>
      <c r="J14" s="33">
        <f>Z8</f>
        <v>227.51</v>
      </c>
      <c r="T14" s="70">
        <v>42712</v>
      </c>
      <c r="U14" t="s">
        <v>468</v>
      </c>
      <c r="V14" s="100">
        <f>8.67</f>
        <v>8.67</v>
      </c>
      <c r="X14" s="70">
        <v>42714</v>
      </c>
      <c r="Y14" t="s">
        <v>470</v>
      </c>
      <c r="Z14" s="100">
        <v>12.5</v>
      </c>
      <c r="AF14" s="70">
        <v>42719</v>
      </c>
      <c r="AG14" t="s">
        <v>479</v>
      </c>
      <c r="AH14" s="100">
        <v>9</v>
      </c>
    </row>
    <row r="15" spans="2:34" x14ac:dyDescent="0.2">
      <c r="B15" s="42" t="s">
        <v>39</v>
      </c>
      <c r="C15" s="22">
        <f>SUM(C12:C14)</f>
        <v>578.63</v>
      </c>
      <c r="D15" s="43">
        <f>SUM(D12:D14)</f>
        <v>0</v>
      </c>
      <c r="F15" s="63" t="s">
        <v>56</v>
      </c>
      <c r="G15" s="104">
        <f>SUM(G11:G14)</f>
        <v>87.594999999999999</v>
      </c>
      <c r="H15" s="21"/>
      <c r="I15" s="21" t="s">
        <v>70</v>
      </c>
      <c r="J15" s="33">
        <f>AD8</f>
        <v>105</v>
      </c>
      <c r="T15" s="70">
        <v>42715</v>
      </c>
      <c r="U15" t="s">
        <v>471</v>
      </c>
      <c r="V15" s="100">
        <f>9</f>
        <v>9</v>
      </c>
      <c r="X15" s="70">
        <v>42718</v>
      </c>
      <c r="Y15" t="s">
        <v>296</v>
      </c>
      <c r="Z15" s="100">
        <f>27.06+10</f>
        <v>37.06</v>
      </c>
      <c r="AF15" s="70">
        <v>42719</v>
      </c>
      <c r="AG15" t="s">
        <v>441</v>
      </c>
      <c r="AH15" s="100">
        <f>12.43</f>
        <v>12.43</v>
      </c>
    </row>
    <row r="16" spans="2:34" ht="16" thickBot="1" x14ac:dyDescent="0.25">
      <c r="B16" s="40" t="s">
        <v>40</v>
      </c>
      <c r="C16" s="24">
        <f>C15/C8</f>
        <v>0.2234368725093448</v>
      </c>
      <c r="D16" s="44" t="e">
        <f>D15/D8</f>
        <v>#DIV/0!</v>
      </c>
      <c r="F16" s="32"/>
      <c r="G16" s="6"/>
      <c r="H16" s="21"/>
      <c r="I16" s="21" t="s">
        <v>71</v>
      </c>
      <c r="J16" s="33">
        <f>AH8</f>
        <v>209.37</v>
      </c>
      <c r="T16" s="70">
        <v>42715</v>
      </c>
      <c r="U16" t="s">
        <v>472</v>
      </c>
      <c r="V16" s="100">
        <f>6.27</f>
        <v>6.27</v>
      </c>
      <c r="X16" s="70">
        <v>42720</v>
      </c>
      <c r="Y16" t="s">
        <v>480</v>
      </c>
      <c r="Z16" s="100">
        <f>22.65-11</f>
        <v>11.649999999999999</v>
      </c>
      <c r="AF16" s="70">
        <v>42722</v>
      </c>
      <c r="AG16" t="s">
        <v>481</v>
      </c>
      <c r="AH16" s="20">
        <v>5</v>
      </c>
    </row>
    <row r="17" spans="2:34" ht="16" thickBot="1" x14ac:dyDescent="0.25">
      <c r="B17" s="40"/>
      <c r="C17" s="24"/>
      <c r="D17" s="45">
        <f>SUM(C15:D15)</f>
        <v>578.63</v>
      </c>
      <c r="F17" s="65" t="s">
        <v>63</v>
      </c>
      <c r="G17" s="6"/>
      <c r="H17" s="21"/>
      <c r="I17" s="77" t="s">
        <v>94</v>
      </c>
      <c r="J17" s="33">
        <f>3.54+2.82+5.2+2.18</f>
        <v>13.739999999999998</v>
      </c>
      <c r="T17" s="70">
        <v>42716</v>
      </c>
      <c r="U17" t="s">
        <v>475</v>
      </c>
      <c r="V17" s="100">
        <f>8.66</f>
        <v>8.66</v>
      </c>
      <c r="X17" s="70">
        <v>42724</v>
      </c>
      <c r="Y17" t="s">
        <v>483</v>
      </c>
      <c r="Z17" s="100">
        <f>11.5</f>
        <v>11.5</v>
      </c>
      <c r="AF17" s="70">
        <v>42724</v>
      </c>
      <c r="AG17" t="s">
        <v>484</v>
      </c>
      <c r="AH17" s="100">
        <f>-38+37.97</f>
        <v>-3.0000000000001137E-2</v>
      </c>
    </row>
    <row r="18" spans="2:34" x14ac:dyDescent="0.2">
      <c r="B18" s="46"/>
      <c r="C18" s="47"/>
      <c r="D18" s="48">
        <f>D17/D9</f>
        <v>0.2234368725093448</v>
      </c>
      <c r="F18" s="32" t="s">
        <v>101</v>
      </c>
      <c r="G18" s="6">
        <v>497.3</v>
      </c>
      <c r="H18" s="21"/>
      <c r="I18" s="77" t="s">
        <v>102</v>
      </c>
      <c r="J18" s="33">
        <f>SUM(J33:J37)</f>
        <v>415.54999999999995</v>
      </c>
      <c r="T18" s="70">
        <v>42720</v>
      </c>
      <c r="U18" t="s">
        <v>120</v>
      </c>
      <c r="V18" s="100">
        <f>2.54</f>
        <v>2.54</v>
      </c>
      <c r="X18" s="70">
        <v>42725</v>
      </c>
      <c r="Y18" t="s">
        <v>130</v>
      </c>
      <c r="Z18" s="100">
        <f>22.5</f>
        <v>22.5</v>
      </c>
      <c r="AF18" s="70">
        <v>42727</v>
      </c>
      <c r="AG18" t="s">
        <v>485</v>
      </c>
      <c r="AH18" s="20">
        <v>70</v>
      </c>
    </row>
    <row r="19" spans="2:34" x14ac:dyDescent="0.2">
      <c r="F19" s="32" t="s">
        <v>57</v>
      </c>
      <c r="G19" s="6">
        <v>320</v>
      </c>
      <c r="H19" s="21"/>
      <c r="I19" s="55" t="s">
        <v>72</v>
      </c>
      <c r="J19" s="64">
        <f>SUM(J11:J18)</f>
        <v>1192.01</v>
      </c>
      <c r="T19" s="70">
        <v>42721</v>
      </c>
      <c r="U19" t="s">
        <v>440</v>
      </c>
      <c r="V19" s="100">
        <f>8.52</f>
        <v>8.52</v>
      </c>
      <c r="X19" s="70">
        <v>42726</v>
      </c>
      <c r="Y19" t="s">
        <v>117</v>
      </c>
      <c r="Z19" s="20">
        <v>22.57</v>
      </c>
      <c r="AF19" s="70">
        <v>42726</v>
      </c>
      <c r="AG19" t="s">
        <v>117</v>
      </c>
      <c r="AH19" s="100">
        <f>10.83</f>
        <v>10.83</v>
      </c>
    </row>
    <row r="20" spans="2:34" ht="16" thickBot="1" x14ac:dyDescent="0.25">
      <c r="B20" s="29" t="s">
        <v>42</v>
      </c>
      <c r="C20" s="38"/>
      <c r="D20" s="39"/>
      <c r="F20" s="32" t="s">
        <v>58</v>
      </c>
      <c r="G20" s="6">
        <v>90</v>
      </c>
      <c r="H20" s="21"/>
      <c r="I20" s="21"/>
      <c r="J20" s="33"/>
      <c r="T20" s="70">
        <v>42727</v>
      </c>
      <c r="U20" t="s">
        <v>486</v>
      </c>
      <c r="V20" s="100">
        <f>16</f>
        <v>16</v>
      </c>
      <c r="X20" s="70">
        <v>42727</v>
      </c>
      <c r="Y20" t="s">
        <v>486</v>
      </c>
      <c r="Z20" s="100">
        <f>35.5</f>
        <v>35.5</v>
      </c>
      <c r="AF20" s="70">
        <v>42726</v>
      </c>
      <c r="AG20" t="s">
        <v>329</v>
      </c>
      <c r="AH20" s="100">
        <f>8.51</f>
        <v>8.51</v>
      </c>
    </row>
    <row r="21" spans="2:34" ht="16" thickBot="1" x14ac:dyDescent="0.25">
      <c r="B21" s="40" t="s">
        <v>376</v>
      </c>
      <c r="C21" s="33">
        <f>0.08*C6</f>
        <v>207.17439999999999</v>
      </c>
      <c r="D21" s="33">
        <f>0.08*D6</f>
        <v>0</v>
      </c>
      <c r="F21" s="32" t="s">
        <v>91</v>
      </c>
      <c r="G21" s="6">
        <v>60</v>
      </c>
      <c r="H21" s="21"/>
      <c r="I21" s="56" t="s">
        <v>73</v>
      </c>
      <c r="J21" s="106">
        <f>SUM(G26,J19)</f>
        <v>2963.1149999999998</v>
      </c>
      <c r="V21" s="100"/>
      <c r="X21" s="70">
        <v>42728</v>
      </c>
      <c r="Y21" t="s">
        <v>180</v>
      </c>
      <c r="Z21" s="100">
        <f>11.55</f>
        <v>11.55</v>
      </c>
      <c r="AF21" s="70">
        <v>42728</v>
      </c>
      <c r="AG21" t="s">
        <v>487</v>
      </c>
      <c r="AH21" s="128">
        <f>9.79-9.79</f>
        <v>0</v>
      </c>
    </row>
    <row r="22" spans="2:34" x14ac:dyDescent="0.2">
      <c r="B22" s="40" t="s">
        <v>44</v>
      </c>
      <c r="C22" s="33">
        <f>0.04*C6</f>
        <v>103.5872</v>
      </c>
      <c r="D22" s="33">
        <f>0.04*D6</f>
        <v>0</v>
      </c>
      <c r="F22" s="32" t="s">
        <v>59</v>
      </c>
      <c r="G22" s="6">
        <v>0</v>
      </c>
      <c r="H22" s="21"/>
      <c r="I22" s="21"/>
      <c r="J22" s="60"/>
      <c r="V22" s="100"/>
      <c r="X22" s="70">
        <v>42728</v>
      </c>
      <c r="Y22" t="s">
        <v>128</v>
      </c>
      <c r="Z22" s="100">
        <f>17.32</f>
        <v>17.32</v>
      </c>
      <c r="AF22" s="70">
        <v>42729</v>
      </c>
      <c r="AG22" t="s">
        <v>488</v>
      </c>
      <c r="AH22" s="128">
        <f>4.93-4.93</f>
        <v>0</v>
      </c>
    </row>
    <row r="23" spans="2:34" x14ac:dyDescent="0.2">
      <c r="B23" s="42" t="s">
        <v>45</v>
      </c>
      <c r="C23" s="23">
        <f>SUM(C21:C22)</f>
        <v>310.76159999999999</v>
      </c>
      <c r="D23" s="49">
        <f>SUM(D21:D22)</f>
        <v>0</v>
      </c>
      <c r="F23" s="32" t="s">
        <v>60</v>
      </c>
      <c r="G23" s="6">
        <v>5.4</v>
      </c>
      <c r="H23" s="21"/>
      <c r="I23" s="21"/>
      <c r="J23" s="60"/>
    </row>
    <row r="24" spans="2:34" ht="16" thickBot="1" x14ac:dyDescent="0.25">
      <c r="B24" s="32"/>
      <c r="C24" s="50">
        <f>C23/C6</f>
        <v>0.12000000000000001</v>
      </c>
      <c r="D24" s="51" t="e">
        <f>D23/D6</f>
        <v>#DIV/0!</v>
      </c>
      <c r="F24" s="36" t="s">
        <v>95</v>
      </c>
      <c r="G24" s="103">
        <f>10.81</f>
        <v>10.81</v>
      </c>
      <c r="H24" s="21"/>
      <c r="I24" s="21"/>
      <c r="J24" s="60"/>
    </row>
    <row r="25" spans="2:34" ht="16" thickBot="1" x14ac:dyDescent="0.25">
      <c r="B25" s="32"/>
      <c r="C25" s="21"/>
      <c r="D25" s="52">
        <f>SUM(C23:D23)</f>
        <v>310.76159999999999</v>
      </c>
      <c r="F25" s="66" t="s">
        <v>65</v>
      </c>
      <c r="G25" s="54">
        <f>SUM(G18:G24)</f>
        <v>983.50999999999988</v>
      </c>
      <c r="H25" s="21"/>
      <c r="I25" s="21"/>
      <c r="J25" s="60"/>
    </row>
    <row r="26" spans="2:34" x14ac:dyDescent="0.2">
      <c r="B26" s="36"/>
      <c r="C26" s="19"/>
      <c r="D26" s="53">
        <f>D25/SUM(C6:D6)</f>
        <v>0.12000000000000001</v>
      </c>
      <c r="F26" s="107" t="s">
        <v>64</v>
      </c>
      <c r="G26" s="108">
        <f>SUM(G8,G15,G25)</f>
        <v>1771.105</v>
      </c>
      <c r="H26" s="19"/>
      <c r="I26" s="19"/>
      <c r="J26" s="67"/>
    </row>
    <row r="27" spans="2:34" ht="16" thickBot="1" x14ac:dyDescent="0.25"/>
    <row r="28" spans="2:34" ht="16" thickBot="1" x14ac:dyDescent="0.25">
      <c r="B28" s="25" t="s">
        <v>46</v>
      </c>
      <c r="C28" s="26">
        <f>C8-C15-C23</f>
        <v>1700.2883999999997</v>
      </c>
      <c r="D28" s="27">
        <f>D8-D15-D23</f>
        <v>0</v>
      </c>
      <c r="I28" s="25" t="s">
        <v>74</v>
      </c>
      <c r="J28" s="68">
        <f>G5-J21</f>
        <v>17485.97898</v>
      </c>
    </row>
    <row r="29" spans="2:34" ht="16" thickBot="1" x14ac:dyDescent="0.25">
      <c r="D29" s="28">
        <f>SUM(C28:D28)</f>
        <v>1700.2883999999997</v>
      </c>
    </row>
    <row r="30" spans="2:34" x14ac:dyDescent="0.2">
      <c r="I30" t="s">
        <v>100</v>
      </c>
      <c r="J30" s="20">
        <f>J28-G2</f>
        <v>-1262.8266000000003</v>
      </c>
    </row>
    <row r="32" spans="2:34" x14ac:dyDescent="0.2">
      <c r="I32" t="s">
        <v>102</v>
      </c>
      <c r="J32" s="20"/>
    </row>
    <row r="33" spans="9:10" x14ac:dyDescent="0.2">
      <c r="I33" t="s">
        <v>462</v>
      </c>
      <c r="J33" s="100">
        <v>5</v>
      </c>
    </row>
    <row r="34" spans="9:10" x14ac:dyDescent="0.2">
      <c r="I34" t="s">
        <v>464</v>
      </c>
      <c r="J34" s="100">
        <f>168.2</f>
        <v>168.2</v>
      </c>
    </row>
    <row r="35" spans="9:10" x14ac:dyDescent="0.2">
      <c r="I35" t="s">
        <v>467</v>
      </c>
      <c r="J35" s="100">
        <v>242.35</v>
      </c>
    </row>
    <row r="36" spans="9:10" x14ac:dyDescent="0.2">
      <c r="J36" s="20"/>
    </row>
  </sheetData>
  <mergeCells count="19">
    <mergeCell ref="AF4:AG4"/>
    <mergeCell ref="L4:M4"/>
    <mergeCell ref="P4:Q4"/>
    <mergeCell ref="T4:U4"/>
    <mergeCell ref="X4:Y4"/>
    <mergeCell ref="AB4:AC4"/>
    <mergeCell ref="AF7:AG7"/>
    <mergeCell ref="L8:M8"/>
    <mergeCell ref="P8:Q8"/>
    <mergeCell ref="T8:U8"/>
    <mergeCell ref="X8:Y8"/>
    <mergeCell ref="AB8:AC8"/>
    <mergeCell ref="AF8:AG8"/>
    <mergeCell ref="AB7:AC7"/>
    <mergeCell ref="L6:M6"/>
    <mergeCell ref="L7:M7"/>
    <mergeCell ref="P7:Q7"/>
    <mergeCell ref="T7:U7"/>
    <mergeCell ref="X7:Y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60"/>
  <sheetViews>
    <sheetView zoomScale="80" zoomScaleNormal="80" zoomScalePageLayoutView="80" workbookViewId="0">
      <pane ySplit="5" topLeftCell="A6" activePane="bottomLeft" state="frozen"/>
      <selection pane="bottomLeft" activeCell="O56" sqref="O56"/>
    </sheetView>
  </sheetViews>
  <sheetFormatPr baseColWidth="10" defaultColWidth="8.83203125" defaultRowHeight="15" x14ac:dyDescent="0.2"/>
  <cols>
    <col min="1" max="1" width="25.5" bestFit="1" customWidth="1"/>
    <col min="2" max="13" width="12.33203125" bestFit="1" customWidth="1"/>
    <col min="14" max="14" width="12.33203125" style="76" bestFit="1" customWidth="1"/>
    <col min="15" max="15" width="12.33203125" style="97" bestFit="1" customWidth="1"/>
    <col min="16" max="16" width="13" bestFit="1" customWidth="1"/>
  </cols>
  <sheetData>
    <row r="1" spans="1:15" x14ac:dyDescent="0.2">
      <c r="A1" t="s">
        <v>0</v>
      </c>
      <c r="B1" s="113">
        <f>N9</f>
        <v>66424.77</v>
      </c>
      <c r="C1" s="113"/>
      <c r="E1" s="129" t="s">
        <v>1</v>
      </c>
      <c r="F1" s="129"/>
      <c r="G1" s="113">
        <f>N22</f>
        <v>44489.70547999999</v>
      </c>
      <c r="H1" s="113"/>
      <c r="J1" s="129" t="s">
        <v>2</v>
      </c>
      <c r="K1" s="129"/>
      <c r="L1" s="126">
        <f>N60-B2</f>
        <v>6820.188979999999</v>
      </c>
      <c r="M1" s="114"/>
    </row>
    <row r="2" spans="1:15" x14ac:dyDescent="0.2">
      <c r="A2" t="s">
        <v>104</v>
      </c>
      <c r="B2" s="113">
        <f>10665.79</f>
        <v>10665.79</v>
      </c>
      <c r="C2" s="113"/>
    </row>
    <row r="3" spans="1:15" x14ac:dyDescent="0.2">
      <c r="O3" s="98"/>
    </row>
    <row r="5" spans="1:15" x14ac:dyDescent="0.2">
      <c r="A5" s="105"/>
      <c r="B5" s="105" t="s">
        <v>3</v>
      </c>
      <c r="C5" s="105" t="s">
        <v>4</v>
      </c>
      <c r="D5" s="105" t="s">
        <v>5</v>
      </c>
      <c r="E5" s="105" t="s">
        <v>6</v>
      </c>
      <c r="F5" s="105" t="s">
        <v>7</v>
      </c>
      <c r="G5" s="105" t="s">
        <v>8</v>
      </c>
      <c r="H5" s="105" t="s">
        <v>9</v>
      </c>
      <c r="I5" s="105" t="s">
        <v>10</v>
      </c>
      <c r="J5" s="105" t="s">
        <v>11</v>
      </c>
      <c r="K5" s="105" t="s">
        <v>12</v>
      </c>
      <c r="L5" s="105" t="s">
        <v>13</v>
      </c>
      <c r="M5" s="105" t="s">
        <v>14</v>
      </c>
      <c r="N5" s="90" t="s">
        <v>85</v>
      </c>
      <c r="O5" s="90" t="s">
        <v>93</v>
      </c>
    </row>
    <row r="6" spans="1:15" ht="16" thickBot="1" x14ac:dyDescent="0.25">
      <c r="A6" s="17" t="s">
        <v>15</v>
      </c>
      <c r="N6" s="90"/>
      <c r="O6" s="90"/>
    </row>
    <row r="7" spans="1:15" x14ac:dyDescent="0.2">
      <c r="A7" t="s">
        <v>33</v>
      </c>
      <c r="B7" s="20">
        <f>SUM(Jan!C6:D6)</f>
        <v>4856.54</v>
      </c>
      <c r="C7" s="20">
        <f>SUM(Feb!C6:D6)</f>
        <v>4961.08</v>
      </c>
      <c r="D7" s="20">
        <f>SUM(Mar!C6:D6)</f>
        <v>4961.08</v>
      </c>
      <c r="E7" s="20">
        <f>SUM(Apr!C6:D6)</f>
        <v>4961.08</v>
      </c>
      <c r="F7" s="20">
        <f>SUM(May!C6:D6)</f>
        <v>4961.08</v>
      </c>
      <c r="G7" s="20">
        <f>SUM(Jun!C6:D6)</f>
        <v>4961.08</v>
      </c>
      <c r="H7" s="20">
        <f>SUM(Jul!C6:D6)</f>
        <v>5179.3599999999997</v>
      </c>
      <c r="I7" s="20">
        <f>SUM(Aug!C6:D6)</f>
        <v>5179.3599999999997</v>
      </c>
      <c r="J7" s="20">
        <f>SUM(Sep!C6:D6)</f>
        <v>5179.3599999999997</v>
      </c>
      <c r="K7" s="20">
        <f>SUM(Oct!C6:D6)</f>
        <v>5179.3599999999997</v>
      </c>
      <c r="L7" s="20">
        <f>SUM(Nov!C6:D6)</f>
        <v>5179.3599999999997</v>
      </c>
      <c r="M7" s="20">
        <f>SUM(Dec!C6:D6)</f>
        <v>2589.6799999999998</v>
      </c>
      <c r="N7" s="91">
        <f>SUM(B7:M7)</f>
        <v>58148.420000000006</v>
      </c>
      <c r="O7" s="91">
        <f>AVERAGE(B7:M7)</f>
        <v>4845.7016666666668</v>
      </c>
    </row>
    <row r="8" spans="1:15" ht="16" thickBot="1" x14ac:dyDescent="0.25">
      <c r="A8" t="s">
        <v>34</v>
      </c>
      <c r="B8" s="72">
        <f>SUM(Jan!C7:D7)</f>
        <v>104.54</v>
      </c>
      <c r="C8" s="72">
        <f>SUM(Feb!C7:D7)</f>
        <v>6671.81</v>
      </c>
      <c r="D8" s="72">
        <f>SUM(Mar!C7:D7)</f>
        <v>0</v>
      </c>
      <c r="E8" s="72">
        <f>SUM(Apr!C7:D7)</f>
        <v>0</v>
      </c>
      <c r="F8" s="72">
        <f>SUM(May!C7:D7)</f>
        <v>0</v>
      </c>
      <c r="G8" s="72">
        <f>SUM(Jun!C7:D7)</f>
        <v>0</v>
      </c>
      <c r="H8" s="72">
        <f>SUM(Jul!C7:D7)</f>
        <v>0</v>
      </c>
      <c r="I8" s="72">
        <f>SUM(Aug!C7:D7)</f>
        <v>0</v>
      </c>
      <c r="J8" s="72">
        <f>SUM(Sep!C7:D7)</f>
        <v>0</v>
      </c>
      <c r="K8" s="72">
        <f>SUM(Oct!C7:D7)</f>
        <v>1500</v>
      </c>
      <c r="L8" s="72">
        <f>SUM(Nov!C7:D7)</f>
        <v>0</v>
      </c>
      <c r="M8" s="72">
        <f>SUM(Dec!C7:D7)</f>
        <v>0</v>
      </c>
      <c r="N8" s="93">
        <f t="shared" ref="N8:N58" si="0">SUM(B8:M8)</f>
        <v>8276.35</v>
      </c>
      <c r="O8" s="91">
        <f t="shared" ref="O8:O60" si="1">AVERAGE(B8:M8)</f>
        <v>689.69583333333333</v>
      </c>
    </row>
    <row r="9" spans="1:15" x14ac:dyDescent="0.2">
      <c r="A9" t="s">
        <v>76</v>
      </c>
      <c r="B9" s="20">
        <f>SUM(B7:B8)</f>
        <v>4961.08</v>
      </c>
      <c r="C9" s="20">
        <f>SUM(C7:C8)</f>
        <v>11632.89</v>
      </c>
      <c r="D9" s="20">
        <f t="shared" ref="D9:M9" si="2">SUM(D7:D8)</f>
        <v>4961.08</v>
      </c>
      <c r="E9" s="20">
        <f t="shared" si="2"/>
        <v>4961.08</v>
      </c>
      <c r="F9" s="20">
        <f t="shared" si="2"/>
        <v>4961.08</v>
      </c>
      <c r="G9" s="20">
        <f t="shared" si="2"/>
        <v>4961.08</v>
      </c>
      <c r="H9" s="20">
        <f t="shared" si="2"/>
        <v>5179.3599999999997</v>
      </c>
      <c r="I9" s="20">
        <f t="shared" si="2"/>
        <v>5179.3599999999997</v>
      </c>
      <c r="J9" s="20">
        <f t="shared" si="2"/>
        <v>5179.3599999999997</v>
      </c>
      <c r="K9" s="20">
        <f t="shared" si="2"/>
        <v>6679.36</v>
      </c>
      <c r="L9" s="20">
        <f t="shared" si="2"/>
        <v>5179.3599999999997</v>
      </c>
      <c r="M9" s="20">
        <f t="shared" si="2"/>
        <v>2589.6799999999998</v>
      </c>
      <c r="N9" s="91">
        <f t="shared" si="0"/>
        <v>66424.77</v>
      </c>
      <c r="O9" s="91">
        <f t="shared" si="1"/>
        <v>5535.3975</v>
      </c>
    </row>
    <row r="10" spans="1:15" x14ac:dyDescent="0.2"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91"/>
      <c r="O10" s="91"/>
    </row>
    <row r="11" spans="1:15" ht="16" thickBot="1" x14ac:dyDescent="0.25">
      <c r="A11" s="17" t="s">
        <v>84</v>
      </c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91"/>
      <c r="O11" s="91"/>
    </row>
    <row r="12" spans="1:15" s="79" customFormat="1" x14ac:dyDescent="0.2">
      <c r="A12" s="86" t="s">
        <v>86</v>
      </c>
      <c r="B12" s="78">
        <f>SUM(Jan!C12:D12)</f>
        <v>737.58999999999958</v>
      </c>
      <c r="C12" s="78">
        <f>SUM(Feb!C12:D12)</f>
        <v>2375.54</v>
      </c>
      <c r="D12" s="78">
        <f>SUM(Mar!C12:D12)</f>
        <v>707.61</v>
      </c>
      <c r="E12" s="78">
        <f>SUM(Apr!C12:D12)</f>
        <v>707.61</v>
      </c>
      <c r="F12" s="78">
        <f>SUM(May!C12:D12)</f>
        <v>707.61</v>
      </c>
      <c r="G12" s="78">
        <f>SUM(Jun!C12:D12)</f>
        <v>707.61</v>
      </c>
      <c r="H12" s="78">
        <f>SUM(Jul!C12:D12)</f>
        <v>760</v>
      </c>
      <c r="I12" s="78">
        <f>SUM(Aug!C12:D12)</f>
        <v>760</v>
      </c>
      <c r="J12" s="78">
        <f>SUM(Sep!C12:D12)</f>
        <v>760.02</v>
      </c>
      <c r="K12" s="78">
        <f>SUM(Oct!C12:D12)</f>
        <v>1135.02</v>
      </c>
      <c r="L12" s="78">
        <f>SUM(Nov!C12:D12)</f>
        <v>760.02</v>
      </c>
      <c r="M12" s="78">
        <f>SUM(Dec!C12:D12)</f>
        <v>380.32</v>
      </c>
      <c r="N12" s="91">
        <f t="shared" si="0"/>
        <v>10498.949999999999</v>
      </c>
      <c r="O12" s="91">
        <f t="shared" si="1"/>
        <v>874.91249999999991</v>
      </c>
    </row>
    <row r="13" spans="1:15" s="79" customFormat="1" x14ac:dyDescent="0.2">
      <c r="A13" s="86" t="s">
        <v>87</v>
      </c>
      <c r="B13" s="78">
        <f>SUM(Jan!C13:D13)</f>
        <v>315.16999999999985</v>
      </c>
      <c r="C13" s="78">
        <f>SUM(Feb!C13:D13)</f>
        <v>721.38000000000011</v>
      </c>
      <c r="D13" s="78">
        <f>SUM(Mar!C13:D13)</f>
        <v>307.74</v>
      </c>
      <c r="E13" s="78">
        <f>SUM(Apr!C13:D13)</f>
        <v>307.73</v>
      </c>
      <c r="F13" s="78">
        <f>SUM(May!C13:D13)</f>
        <v>307.74</v>
      </c>
      <c r="G13" s="78">
        <f>SUM(Jun!C13:D13)</f>
        <v>307.73</v>
      </c>
      <c r="H13" s="78">
        <f>SUM(Jul!C13:D13)</f>
        <v>321.27</v>
      </c>
      <c r="I13" s="78">
        <f>SUM(Aug!C13:D13)</f>
        <v>321.27</v>
      </c>
      <c r="J13" s="78">
        <f>SUM(Sep!C13:D13)</f>
        <v>321.27</v>
      </c>
      <c r="K13" s="78">
        <f>SUM(Oct!C13:D13)</f>
        <v>414.28016000000002</v>
      </c>
      <c r="L13" s="78">
        <f>SUM(Nov!C13:D13)</f>
        <v>321.27</v>
      </c>
      <c r="M13" s="78">
        <f>SUM(Dec!C13:D13)</f>
        <v>160.72</v>
      </c>
      <c r="N13" s="91">
        <f t="shared" si="0"/>
        <v>4127.5701599999993</v>
      </c>
      <c r="O13" s="91">
        <f t="shared" si="1"/>
        <v>343.96417999999994</v>
      </c>
    </row>
    <row r="14" spans="1:15" s="79" customFormat="1" ht="16" thickBot="1" x14ac:dyDescent="0.25">
      <c r="A14" s="86" t="s">
        <v>88</v>
      </c>
      <c r="B14" s="95">
        <f>SUM(Jan!C14:D14)</f>
        <v>73.710000000000036</v>
      </c>
      <c r="C14" s="95">
        <f>SUM(Feb!C14:D14)</f>
        <v>168.70999999999998</v>
      </c>
      <c r="D14" s="95">
        <f>SUM(Mar!C14:D14)</f>
        <v>71.97</v>
      </c>
      <c r="E14" s="95">
        <f>SUM(Apr!C14:D14)</f>
        <v>71.97</v>
      </c>
      <c r="F14" s="95">
        <f>SUM(May!C14:D14)</f>
        <v>71.97</v>
      </c>
      <c r="G14" s="95">
        <f>SUM(Jun!C14:D14)</f>
        <v>71.97</v>
      </c>
      <c r="H14" s="95">
        <f>SUM(Jul!C14:D14)</f>
        <v>75.14</v>
      </c>
      <c r="I14" s="95">
        <f>SUM(Aug!C14:D14)</f>
        <v>75.13</v>
      </c>
      <c r="J14" s="95">
        <f>SUM(Sep!C14:D14)</f>
        <v>75.14</v>
      </c>
      <c r="K14" s="95">
        <f>SUM(Oct!C14:D14)</f>
        <v>96.880359999999996</v>
      </c>
      <c r="L14" s="95">
        <f>SUM(Nov!C14:D14)</f>
        <v>75.14</v>
      </c>
      <c r="M14" s="95">
        <f>SUM(Dec!C14:D14)</f>
        <v>37.590000000000003</v>
      </c>
      <c r="N14" s="93">
        <f t="shared" si="0"/>
        <v>965.32036000000005</v>
      </c>
      <c r="O14" s="91">
        <f t="shared" si="1"/>
        <v>80.443363333333338</v>
      </c>
    </row>
    <row r="15" spans="1:15" x14ac:dyDescent="0.2">
      <c r="A15" s="77" t="s">
        <v>39</v>
      </c>
      <c r="B15" s="78">
        <f>SUM(B12:B14)</f>
        <v>1126.4699999999993</v>
      </c>
      <c r="C15" s="78">
        <f t="shared" ref="C15:M15" si="3">SUM(C12:C14)</f>
        <v>3265.63</v>
      </c>
      <c r="D15" s="78">
        <f t="shared" si="3"/>
        <v>1087.32</v>
      </c>
      <c r="E15" s="78">
        <f t="shared" si="3"/>
        <v>1087.31</v>
      </c>
      <c r="F15" s="78">
        <f t="shared" si="3"/>
        <v>1087.32</v>
      </c>
      <c r="G15" s="78">
        <f t="shared" si="3"/>
        <v>1087.31</v>
      </c>
      <c r="H15" s="78">
        <f t="shared" si="3"/>
        <v>1156.4100000000001</v>
      </c>
      <c r="I15" s="78">
        <f t="shared" si="3"/>
        <v>1156.4000000000001</v>
      </c>
      <c r="J15" s="78">
        <f t="shared" si="3"/>
        <v>1156.43</v>
      </c>
      <c r="K15" s="78">
        <f t="shared" si="3"/>
        <v>1646.1805199999999</v>
      </c>
      <c r="L15" s="78">
        <f t="shared" si="3"/>
        <v>1156.43</v>
      </c>
      <c r="M15" s="78">
        <f t="shared" si="3"/>
        <v>578.63</v>
      </c>
      <c r="N15" s="91">
        <f t="shared" si="0"/>
        <v>15591.840519999998</v>
      </c>
      <c r="O15" s="91">
        <f t="shared" si="1"/>
        <v>1299.3200433333332</v>
      </c>
    </row>
    <row r="16" spans="1:15" x14ac:dyDescent="0.2">
      <c r="A16" s="77"/>
      <c r="B16" s="99"/>
      <c r="C16" s="99"/>
      <c r="D16" s="99"/>
      <c r="E16" s="99"/>
      <c r="F16" s="99"/>
      <c r="G16" s="20"/>
      <c r="H16" s="20"/>
      <c r="I16" s="20"/>
      <c r="J16" s="20"/>
      <c r="K16" s="20"/>
      <c r="L16" s="20"/>
      <c r="M16" s="20"/>
      <c r="N16" s="91"/>
      <c r="O16" s="91"/>
    </row>
    <row r="17" spans="1:15 16384:16384" ht="16" thickBot="1" x14ac:dyDescent="0.25">
      <c r="A17" s="81" t="s">
        <v>89</v>
      </c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91"/>
      <c r="O17" s="91"/>
    </row>
    <row r="18" spans="1:15 16384:16384" x14ac:dyDescent="0.2">
      <c r="A18" s="40" t="s">
        <v>43</v>
      </c>
      <c r="B18" s="20">
        <f>SUM(Jan!C21:D21)</f>
        <v>297.66480000000001</v>
      </c>
      <c r="C18" s="20">
        <f>SUM(Feb!C21:D21)</f>
        <v>297.66479999999996</v>
      </c>
      <c r="D18" s="20">
        <f>SUM(Mar!C21:D21)</f>
        <v>297.66479999999996</v>
      </c>
      <c r="E18" s="20">
        <f>SUM(Apr!C21:D21)</f>
        <v>297.66479999999996</v>
      </c>
      <c r="F18" s="20">
        <f>SUM(May!C21:D21)</f>
        <v>297.66479999999996</v>
      </c>
      <c r="G18" s="20">
        <f>SUM(Jun!C21:D21)</f>
        <v>297.66479999999996</v>
      </c>
      <c r="H18" s="20">
        <f>SUM(Jul!C21:D21)</f>
        <v>362.55520000000001</v>
      </c>
      <c r="I18" s="20">
        <f>SUM(Aug!C21:D21)</f>
        <v>414.34879999999998</v>
      </c>
      <c r="J18" s="20">
        <f>SUM(Sep!C21:D21)</f>
        <v>414.34879999999998</v>
      </c>
      <c r="K18" s="20">
        <f>SUM(Oct!C21:D21)</f>
        <v>414.34879999999998</v>
      </c>
      <c r="L18" s="20">
        <f>SUM(Nov!C21:D21)</f>
        <v>414.34879999999998</v>
      </c>
      <c r="M18" s="20">
        <f>SUM(Dec!C21:D21)</f>
        <v>207.17439999999999</v>
      </c>
      <c r="N18" s="91">
        <f t="shared" si="0"/>
        <v>4013.1135999999988</v>
      </c>
      <c r="O18" s="91">
        <f t="shared" si="1"/>
        <v>334.42613333333321</v>
      </c>
    </row>
    <row r="19" spans="1:15 16384:16384" ht="16" thickBot="1" x14ac:dyDescent="0.25">
      <c r="A19" s="40" t="s">
        <v>44</v>
      </c>
      <c r="B19" s="72">
        <f>SUM(Jan!C22:D22)</f>
        <v>198.44319999999999</v>
      </c>
      <c r="C19" s="72">
        <f>SUM(Feb!C22:D22)</f>
        <v>198.44319999999999</v>
      </c>
      <c r="D19" s="72">
        <f>SUM(Mar!C22:D22)</f>
        <v>198.44319999999999</v>
      </c>
      <c r="E19" s="72">
        <f>SUM(Apr!C22:D22)</f>
        <v>198.44319999999999</v>
      </c>
      <c r="F19" s="72">
        <f>SUM(May!C22:D22)</f>
        <v>198.44319999999999</v>
      </c>
      <c r="G19" s="72">
        <f>SUM(Jun!C22:D22)</f>
        <v>198.44319999999999</v>
      </c>
      <c r="H19" s="72">
        <f>SUM(Jul!C22:D22)</f>
        <v>207.17439999999999</v>
      </c>
      <c r="I19" s="72">
        <f>SUM(Aug!C22:D22)</f>
        <v>207.17439999999999</v>
      </c>
      <c r="J19" s="72">
        <f>SUM(Sep!C22:D22)</f>
        <v>207.17439999999999</v>
      </c>
      <c r="K19" s="72">
        <f>SUM(Oct!C22:D22)</f>
        <v>207.17439999999999</v>
      </c>
      <c r="L19" s="72">
        <f>SUM(Nov!C22:D22)</f>
        <v>207.17439999999999</v>
      </c>
      <c r="M19" s="72">
        <f>SUM(Dec!C22:D22)</f>
        <v>103.5872</v>
      </c>
      <c r="N19" s="93">
        <f t="shared" si="0"/>
        <v>2330.1183999999994</v>
      </c>
      <c r="O19" s="91">
        <f t="shared" si="1"/>
        <v>194.17653333333328</v>
      </c>
    </row>
    <row r="20" spans="1:15 16384:16384" x14ac:dyDescent="0.2">
      <c r="A20" s="77" t="s">
        <v>45</v>
      </c>
      <c r="B20" s="20">
        <f>SUM(B18:B19)</f>
        <v>496.108</v>
      </c>
      <c r="C20" s="20">
        <f t="shared" ref="C20:M20" si="4">SUM(C18:C19)</f>
        <v>496.10799999999995</v>
      </c>
      <c r="D20" s="20">
        <f t="shared" si="4"/>
        <v>496.10799999999995</v>
      </c>
      <c r="E20" s="20">
        <f t="shared" si="4"/>
        <v>496.10799999999995</v>
      </c>
      <c r="F20" s="20">
        <f t="shared" si="4"/>
        <v>496.10799999999995</v>
      </c>
      <c r="G20" s="20">
        <f t="shared" si="4"/>
        <v>496.10799999999995</v>
      </c>
      <c r="H20" s="20">
        <f t="shared" si="4"/>
        <v>569.7296</v>
      </c>
      <c r="I20" s="20">
        <f t="shared" si="4"/>
        <v>621.52319999999997</v>
      </c>
      <c r="J20" s="20">
        <f t="shared" si="4"/>
        <v>621.52319999999997</v>
      </c>
      <c r="K20" s="20">
        <f t="shared" si="4"/>
        <v>621.52319999999997</v>
      </c>
      <c r="L20" s="20">
        <f t="shared" si="4"/>
        <v>621.52319999999997</v>
      </c>
      <c r="M20" s="20">
        <f t="shared" si="4"/>
        <v>310.76159999999999</v>
      </c>
      <c r="N20" s="91">
        <f t="shared" si="0"/>
        <v>6343.2319999999991</v>
      </c>
      <c r="O20" s="91">
        <f t="shared" si="1"/>
        <v>528.60266666666655</v>
      </c>
    </row>
    <row r="21" spans="1:15 16384:16384" ht="16" thickBot="1" x14ac:dyDescent="0.25">
      <c r="B21" s="69"/>
      <c r="C21" s="69"/>
      <c r="D21" s="69"/>
      <c r="E21" s="69"/>
      <c r="F21" s="69"/>
      <c r="G21" s="69"/>
      <c r="H21" s="69"/>
      <c r="I21" s="69"/>
      <c r="J21" s="69"/>
      <c r="K21" s="69"/>
      <c r="L21" s="69"/>
      <c r="M21" s="69"/>
      <c r="N21" s="93"/>
      <c r="O21" s="91"/>
    </row>
    <row r="22" spans="1:15 16384:16384" ht="16" thickBot="1" x14ac:dyDescent="0.25">
      <c r="A22" s="1" t="s">
        <v>46</v>
      </c>
      <c r="B22" s="83">
        <f>Jan!D29</f>
        <v>3338.51</v>
      </c>
      <c r="C22" s="83">
        <f t="shared" ref="C22:M22" si="5">C9-C15-C20</f>
        <v>7871.1519999999982</v>
      </c>
      <c r="D22" s="83">
        <f>D9-D15-D20</f>
        <v>3377.652</v>
      </c>
      <c r="E22" s="83">
        <f t="shared" si="5"/>
        <v>3377.6620000000003</v>
      </c>
      <c r="F22" s="83">
        <f t="shared" si="5"/>
        <v>3377.652</v>
      </c>
      <c r="G22" s="83">
        <f t="shared" si="5"/>
        <v>3377.6620000000003</v>
      </c>
      <c r="H22" s="83">
        <f t="shared" si="5"/>
        <v>3453.2203999999997</v>
      </c>
      <c r="I22" s="83">
        <f t="shared" si="5"/>
        <v>3401.4367999999995</v>
      </c>
      <c r="J22" s="83">
        <f t="shared" si="5"/>
        <v>3401.4067999999993</v>
      </c>
      <c r="K22" s="83">
        <f t="shared" si="5"/>
        <v>4411.6562800000002</v>
      </c>
      <c r="L22" s="83">
        <f t="shared" si="5"/>
        <v>3401.4067999999993</v>
      </c>
      <c r="M22" s="83">
        <f t="shared" si="5"/>
        <v>1700.2883999999997</v>
      </c>
      <c r="N22" s="94">
        <f t="shared" si="0"/>
        <v>44489.70547999999</v>
      </c>
      <c r="O22" s="91">
        <f t="shared" si="1"/>
        <v>3707.4754566666657</v>
      </c>
    </row>
    <row r="23" spans="1:15 16384:16384" x14ac:dyDescent="0.2">
      <c r="A23" s="76"/>
      <c r="B23" s="89"/>
      <c r="C23" s="89"/>
      <c r="D23" s="89"/>
      <c r="E23" s="89"/>
      <c r="F23" s="89"/>
      <c r="G23" s="89"/>
      <c r="H23" s="89"/>
      <c r="I23" s="89"/>
      <c r="J23" s="89"/>
      <c r="K23" s="89"/>
      <c r="L23" s="89"/>
      <c r="M23" s="89"/>
      <c r="N23" s="91"/>
      <c r="O23" s="91"/>
    </row>
    <row r="24" spans="1:15 16384:16384" x14ac:dyDescent="0.2">
      <c r="A24" s="76" t="s">
        <v>92</v>
      </c>
      <c r="B24" s="89">
        <f>Jan!G4</f>
        <v>0</v>
      </c>
      <c r="C24" s="89">
        <f>Feb!G4</f>
        <v>0</v>
      </c>
      <c r="D24" s="89">
        <f>Mar!G4</f>
        <v>1121.54</v>
      </c>
      <c r="E24" s="89">
        <f>Apr!G4</f>
        <v>0</v>
      </c>
      <c r="F24" s="89">
        <f>May!G4</f>
        <v>-277.96000000000004</v>
      </c>
      <c r="G24" s="89">
        <f>Jun!G4</f>
        <v>79.930000000000007</v>
      </c>
      <c r="H24" s="89">
        <f>Jul!G4</f>
        <v>158.97999999999999</v>
      </c>
      <c r="I24" s="89">
        <f>Aug!G4</f>
        <v>-1320.99</v>
      </c>
      <c r="J24" s="89">
        <f>Sep!G4</f>
        <v>0</v>
      </c>
      <c r="K24" s="89">
        <f>Oct!G4</f>
        <v>3.6</v>
      </c>
      <c r="L24" s="89">
        <f>Nov!G4</f>
        <v>0</v>
      </c>
      <c r="M24" s="89">
        <f>Dec!G4</f>
        <v>0</v>
      </c>
      <c r="N24" s="91">
        <f t="shared" si="0"/>
        <v>-234.9</v>
      </c>
      <c r="O24" s="91">
        <f t="shared" si="1"/>
        <v>-19.574999999999999</v>
      </c>
      <c r="XFD24" s="20"/>
    </row>
    <row r="25" spans="1:15 16384:16384" x14ac:dyDescent="0.2">
      <c r="N25" s="91"/>
      <c r="O25" s="91"/>
    </row>
    <row r="26" spans="1:15 16384:16384" ht="16" thickBot="1" x14ac:dyDescent="0.25">
      <c r="A26" s="17" t="s">
        <v>50</v>
      </c>
      <c r="N26" s="91"/>
      <c r="O26" s="91"/>
    </row>
    <row r="27" spans="1:15 16384:16384" s="79" customFormat="1" x14ac:dyDescent="0.2">
      <c r="A27" s="86" t="s">
        <v>90</v>
      </c>
      <c r="B27" s="87">
        <f>Jan!G8</f>
        <v>700</v>
      </c>
      <c r="C27" s="87">
        <f>Feb!G8</f>
        <v>700</v>
      </c>
      <c r="D27" s="87">
        <f>Mar!G8</f>
        <v>700</v>
      </c>
      <c r="E27" s="87">
        <f>Apr!G8</f>
        <v>700</v>
      </c>
      <c r="F27" s="87">
        <f>May!G8</f>
        <v>700</v>
      </c>
      <c r="G27" s="87">
        <f>Jun!G8</f>
        <v>700</v>
      </c>
      <c r="H27" s="87">
        <f>Jul!G8</f>
        <v>700</v>
      </c>
      <c r="I27" s="87">
        <f>Aug!G8</f>
        <v>700</v>
      </c>
      <c r="J27" s="87">
        <f>Sep!G8</f>
        <v>700</v>
      </c>
      <c r="K27" s="87">
        <f>Oct!G8</f>
        <v>700</v>
      </c>
      <c r="L27" s="87">
        <f>Nov!G8</f>
        <v>700</v>
      </c>
      <c r="M27" s="87">
        <f>Dec!G8</f>
        <v>700</v>
      </c>
      <c r="N27" s="91">
        <f t="shared" si="0"/>
        <v>8400</v>
      </c>
      <c r="O27" s="91">
        <f t="shared" si="1"/>
        <v>700</v>
      </c>
    </row>
    <row r="28" spans="1:15 16384:16384" x14ac:dyDescent="0.2">
      <c r="N28" s="91"/>
      <c r="O28" s="91"/>
    </row>
    <row r="29" spans="1:15 16384:16384" ht="16" thickBot="1" x14ac:dyDescent="0.25">
      <c r="A29" s="17" t="s">
        <v>51</v>
      </c>
      <c r="N29" s="91"/>
      <c r="O29" s="91"/>
    </row>
    <row r="30" spans="1:15 16384:16384" x14ac:dyDescent="0.2">
      <c r="A30" t="s">
        <v>52</v>
      </c>
      <c r="B30" s="3">
        <f>Jan!G11</f>
        <v>20.428000000000001</v>
      </c>
      <c r="C30" s="3">
        <f>Feb!G11</f>
        <v>14.728</v>
      </c>
      <c r="D30" s="3">
        <f>Mar!G11</f>
        <v>13.646000000000001</v>
      </c>
      <c r="E30" s="3">
        <f>Apr!G11</f>
        <v>13.906000000000001</v>
      </c>
      <c r="F30" s="3">
        <f>May!G11</f>
        <v>20.708000000000002</v>
      </c>
      <c r="G30" s="3">
        <f>Jun!G11</f>
        <v>32.754000000000005</v>
      </c>
      <c r="H30" s="3">
        <f>Jul!G11</f>
        <v>80.777999999999992</v>
      </c>
      <c r="I30" s="3">
        <f>Aug!G11</f>
        <v>86.713999999999999</v>
      </c>
      <c r="J30" s="3">
        <f>Sep!G11</f>
        <v>84.892499999999998</v>
      </c>
      <c r="K30" s="3">
        <f>Oct!G11</f>
        <v>78.607500000000002</v>
      </c>
      <c r="L30" s="3">
        <f>Nov!G11</f>
        <v>38.954999999999998</v>
      </c>
      <c r="M30" s="3">
        <f>Dec!G11</f>
        <v>30.672499999999999</v>
      </c>
      <c r="N30" s="91">
        <f t="shared" si="0"/>
        <v>516.78949999999998</v>
      </c>
      <c r="O30" s="91">
        <f t="shared" si="1"/>
        <v>43.065791666666662</v>
      </c>
    </row>
    <row r="31" spans="1:15 16384:16384" x14ac:dyDescent="0.2">
      <c r="A31" s="62" t="s">
        <v>53</v>
      </c>
      <c r="B31" s="3">
        <f>Jan!G12</f>
        <v>24.65</v>
      </c>
      <c r="C31" s="3">
        <f>Feb!G12</f>
        <v>19.648000000000003</v>
      </c>
      <c r="D31" s="3">
        <f>Mar!G12</f>
        <v>21.907999999999998</v>
      </c>
      <c r="E31" s="3">
        <f>Apr!G12</f>
        <v>21.746000000000002</v>
      </c>
      <c r="F31" s="3">
        <f>May!G12</f>
        <v>25.910000000000004</v>
      </c>
      <c r="G31" s="3">
        <f>Jun!G12</f>
        <v>27.113999999999997</v>
      </c>
      <c r="H31" s="3">
        <f>Jul!G12</f>
        <v>30.826000000000001</v>
      </c>
      <c r="I31" s="3">
        <f>Aug!G12</f>
        <v>30.665999999999997</v>
      </c>
      <c r="J31" s="3">
        <f>Sep!G12</f>
        <v>34.497500000000002</v>
      </c>
      <c r="K31" s="3">
        <f>Oct!G12</f>
        <v>22.4375</v>
      </c>
      <c r="L31" s="3">
        <f>Nov!G12</f>
        <v>21.6875</v>
      </c>
      <c r="M31" s="3">
        <f>Dec!G12</f>
        <v>31.842500000000001</v>
      </c>
      <c r="N31" s="91">
        <f t="shared" si="0"/>
        <v>312.93299999999999</v>
      </c>
      <c r="O31" s="91">
        <f t="shared" si="1"/>
        <v>26.077749999999998</v>
      </c>
    </row>
    <row r="32" spans="1:15 16384:16384" x14ac:dyDescent="0.2">
      <c r="A32" s="62" t="s">
        <v>54</v>
      </c>
      <c r="B32" s="3">
        <f>Jan!G13</f>
        <v>25.323999999999998</v>
      </c>
      <c r="C32" s="3">
        <f>Feb!G13</f>
        <v>25.748000000000001</v>
      </c>
      <c r="D32" s="3">
        <f>Mar!G13</f>
        <v>27.744</v>
      </c>
      <c r="E32" s="3">
        <f>Apr!G13</f>
        <v>14.95</v>
      </c>
      <c r="F32" s="3">
        <f>May!G13</f>
        <v>20.18</v>
      </c>
      <c r="G32" s="3">
        <f>Jun!G13</f>
        <v>29.387999999999998</v>
      </c>
      <c r="H32" s="3">
        <f>Jul!G13</f>
        <v>12.600000000000009</v>
      </c>
      <c r="I32" s="3">
        <f>Aug!G13</f>
        <v>12.63</v>
      </c>
      <c r="J32" s="3">
        <f>Sep!G13</f>
        <v>15.78</v>
      </c>
      <c r="K32" s="3">
        <f>Oct!G13</f>
        <v>34.15</v>
      </c>
      <c r="L32" s="3">
        <f>Nov!G13</f>
        <v>22.1</v>
      </c>
      <c r="M32" s="3">
        <f>Dec!G13</f>
        <v>25.080000000000002</v>
      </c>
      <c r="N32" s="91">
        <f t="shared" si="0"/>
        <v>265.67400000000004</v>
      </c>
      <c r="O32" s="91">
        <f t="shared" si="1"/>
        <v>22.139500000000002</v>
      </c>
    </row>
    <row r="33" spans="1:18" ht="16" thickBot="1" x14ac:dyDescent="0.25">
      <c r="A33" s="62" t="s">
        <v>55</v>
      </c>
      <c r="B33" s="69">
        <f>Jan!G14</f>
        <v>30</v>
      </c>
      <c r="C33" s="69">
        <f>Feb!G14</f>
        <v>30</v>
      </c>
      <c r="D33" s="69">
        <f>Mar!G14</f>
        <v>30</v>
      </c>
      <c r="E33" s="69">
        <f>Apr!G14</f>
        <v>30</v>
      </c>
      <c r="F33" s="69">
        <f>May!G14</f>
        <v>30</v>
      </c>
      <c r="G33" s="69">
        <f>Jun!G14</f>
        <v>30</v>
      </c>
      <c r="H33" s="69">
        <f>Jul!G14</f>
        <v>0</v>
      </c>
      <c r="I33" s="69">
        <f>Aug!G14</f>
        <v>0</v>
      </c>
      <c r="J33" s="69">
        <f>Sep!G14</f>
        <v>0</v>
      </c>
      <c r="K33" s="69">
        <f>Oct!G14</f>
        <v>0</v>
      </c>
      <c r="L33" s="69">
        <f>Nov!G14</f>
        <v>0</v>
      </c>
      <c r="M33" s="117">
        <f>Dec!G14</f>
        <v>0</v>
      </c>
      <c r="N33" s="93">
        <f t="shared" si="0"/>
        <v>180</v>
      </c>
      <c r="O33" s="91">
        <f t="shared" si="1"/>
        <v>15</v>
      </c>
    </row>
    <row r="34" spans="1:18" s="79" customFormat="1" x14ac:dyDescent="0.2">
      <c r="A34" s="86" t="s">
        <v>56</v>
      </c>
      <c r="B34" s="87">
        <f>SUM(B30:B33)</f>
        <v>100.402</v>
      </c>
      <c r="C34" s="87">
        <f t="shared" ref="C34:M34" si="6">SUM(C30:C33)</f>
        <v>90.124000000000009</v>
      </c>
      <c r="D34" s="87">
        <f t="shared" si="6"/>
        <v>93.298000000000002</v>
      </c>
      <c r="E34" s="87">
        <f t="shared" si="6"/>
        <v>80.602000000000004</v>
      </c>
      <c r="F34" s="87">
        <f t="shared" si="6"/>
        <v>96.798000000000002</v>
      </c>
      <c r="G34" s="87">
        <f t="shared" si="6"/>
        <v>119.256</v>
      </c>
      <c r="H34" s="87">
        <f t="shared" si="6"/>
        <v>124.20399999999999</v>
      </c>
      <c r="I34" s="87">
        <f t="shared" si="6"/>
        <v>130.01</v>
      </c>
      <c r="J34" s="87">
        <f t="shared" si="6"/>
        <v>135.16999999999999</v>
      </c>
      <c r="K34" s="87">
        <f t="shared" si="6"/>
        <v>135.19499999999999</v>
      </c>
      <c r="L34" s="87">
        <f t="shared" si="6"/>
        <v>82.742500000000007</v>
      </c>
      <c r="M34" s="87">
        <f t="shared" si="6"/>
        <v>87.594999999999999</v>
      </c>
      <c r="N34" s="91">
        <f t="shared" si="0"/>
        <v>1275.3965000000001</v>
      </c>
      <c r="O34" s="91">
        <f t="shared" si="1"/>
        <v>106.28304166666668</v>
      </c>
    </row>
    <row r="35" spans="1:18" x14ac:dyDescent="0.2">
      <c r="N35" s="91"/>
      <c r="O35" s="91"/>
    </row>
    <row r="36" spans="1:18" ht="16" thickBot="1" x14ac:dyDescent="0.25">
      <c r="A36" s="65" t="s">
        <v>63</v>
      </c>
      <c r="N36" s="91"/>
      <c r="O36" s="91"/>
    </row>
    <row r="37" spans="1:18" x14ac:dyDescent="0.2">
      <c r="A37" s="32" t="s">
        <v>101</v>
      </c>
      <c r="B37" s="20">
        <f>Jan!G18</f>
        <v>0</v>
      </c>
      <c r="C37" s="20">
        <f>Feb!G18</f>
        <v>497.3</v>
      </c>
      <c r="D37" s="20">
        <f>Mar!G18</f>
        <v>497.3</v>
      </c>
      <c r="E37" s="20">
        <f>Apr!G18</f>
        <v>497.3</v>
      </c>
      <c r="F37" s="20">
        <f>May!G18</f>
        <v>497.3</v>
      </c>
      <c r="G37" s="20">
        <f>Jun!G18</f>
        <v>497.3</v>
      </c>
      <c r="H37" s="20">
        <f>Jul!G18</f>
        <v>497.3</v>
      </c>
      <c r="I37" s="20">
        <f>Aug!G18</f>
        <v>497.3</v>
      </c>
      <c r="J37" s="20">
        <f>Sep!G18</f>
        <v>497.3</v>
      </c>
      <c r="K37" s="20">
        <f>Oct!G18</f>
        <v>497.3</v>
      </c>
      <c r="L37" s="20">
        <f>Nov!G18</f>
        <v>497.3</v>
      </c>
      <c r="M37" s="20">
        <f>Dec!G18</f>
        <v>497.3</v>
      </c>
      <c r="N37" s="91">
        <f>SUM(B37:M37)</f>
        <v>5470.3000000000011</v>
      </c>
      <c r="O37" s="91">
        <f t="shared" si="1"/>
        <v>455.85833333333341</v>
      </c>
      <c r="Q37">
        <v>497.3</v>
      </c>
    </row>
    <row r="38" spans="1:18" x14ac:dyDescent="0.2">
      <c r="A38" s="32" t="s">
        <v>57</v>
      </c>
      <c r="B38" s="20">
        <f>Jan!G19</f>
        <v>300</v>
      </c>
      <c r="C38" s="20">
        <f>Feb!G19</f>
        <v>300</v>
      </c>
      <c r="D38" s="20">
        <f>Mar!G19</f>
        <v>300</v>
      </c>
      <c r="E38" s="20">
        <f>Apr!G19</f>
        <v>300</v>
      </c>
      <c r="F38" s="20">
        <f>May!G19</f>
        <v>300</v>
      </c>
      <c r="G38" s="20">
        <f>Jun!G19</f>
        <v>300</v>
      </c>
      <c r="H38" s="20">
        <f>Jul!G19</f>
        <v>300</v>
      </c>
      <c r="I38" s="20">
        <f>Aug!G19</f>
        <v>320</v>
      </c>
      <c r="J38" s="20">
        <f>Sep!G19</f>
        <v>320</v>
      </c>
      <c r="K38" s="20">
        <f>Oct!G19</f>
        <v>320</v>
      </c>
      <c r="L38" s="20">
        <f>Nov!G19</f>
        <v>320</v>
      </c>
      <c r="M38" s="20">
        <f>Dec!G19</f>
        <v>320</v>
      </c>
      <c r="N38" s="91">
        <f t="shared" si="0"/>
        <v>3700</v>
      </c>
      <c r="O38" s="91">
        <f t="shared" si="1"/>
        <v>308.33333333333331</v>
      </c>
      <c r="Q38">
        <v>300</v>
      </c>
      <c r="R38">
        <v>155</v>
      </c>
    </row>
    <row r="39" spans="1:18" x14ac:dyDescent="0.2">
      <c r="A39" s="32" t="s">
        <v>58</v>
      </c>
      <c r="B39" s="20">
        <f>Jan!G20</f>
        <v>55</v>
      </c>
      <c r="C39" s="20">
        <f>Feb!G20</f>
        <v>55</v>
      </c>
      <c r="D39" s="20">
        <f>Mar!G20</f>
        <v>55</v>
      </c>
      <c r="E39" s="20">
        <f>Apr!G20</f>
        <v>55</v>
      </c>
      <c r="F39" s="20">
        <f>May!G20</f>
        <v>55</v>
      </c>
      <c r="G39" s="20">
        <f>Jun!G20</f>
        <v>110</v>
      </c>
      <c r="H39" s="20">
        <f>Jul!G20</f>
        <v>90</v>
      </c>
      <c r="I39" s="20">
        <f>Aug!G20</f>
        <v>90</v>
      </c>
      <c r="J39" s="20">
        <f>Sep!G20</f>
        <v>90</v>
      </c>
      <c r="K39" s="20">
        <f>Oct!G20</f>
        <v>90</v>
      </c>
      <c r="L39" s="20">
        <f>Nov!G20</f>
        <v>90</v>
      </c>
      <c r="M39" s="20">
        <f>Dec!G20</f>
        <v>90</v>
      </c>
      <c r="N39" s="91">
        <f t="shared" si="0"/>
        <v>925</v>
      </c>
      <c r="O39" s="91">
        <f t="shared" si="1"/>
        <v>77.083333333333329</v>
      </c>
      <c r="Q39">
        <v>55</v>
      </c>
      <c r="R39">
        <v>55</v>
      </c>
    </row>
    <row r="40" spans="1:18" x14ac:dyDescent="0.2">
      <c r="A40" s="32" t="s">
        <v>91</v>
      </c>
      <c r="B40" s="20">
        <f>Jan!G21</f>
        <v>80</v>
      </c>
      <c r="C40" s="20">
        <f>Feb!G21</f>
        <v>50</v>
      </c>
      <c r="D40" s="20">
        <f>Mar!G21</f>
        <v>50</v>
      </c>
      <c r="E40" s="20">
        <f>Apr!G21</f>
        <v>70</v>
      </c>
      <c r="F40" s="20">
        <f>May!G21</f>
        <v>80</v>
      </c>
      <c r="G40" s="20">
        <f>Jun!G21</f>
        <v>100</v>
      </c>
      <c r="H40" s="20">
        <f>Jul!G21</f>
        <v>80</v>
      </c>
      <c r="I40" s="20">
        <f>Aug!G21</f>
        <v>100</v>
      </c>
      <c r="J40" s="20">
        <f>Sep!G21</f>
        <v>80</v>
      </c>
      <c r="K40" s="20">
        <f>Oct!G21</f>
        <v>80</v>
      </c>
      <c r="L40" s="20">
        <f>Nov!G21</f>
        <v>100</v>
      </c>
      <c r="M40" s="20">
        <f>Dec!G21</f>
        <v>60</v>
      </c>
      <c r="N40" s="91">
        <f t="shared" si="0"/>
        <v>930</v>
      </c>
      <c r="O40" s="91">
        <f t="shared" si="1"/>
        <v>77.5</v>
      </c>
      <c r="Q40">
        <v>80</v>
      </c>
      <c r="R40">
        <v>400</v>
      </c>
    </row>
    <row r="41" spans="1:18" x14ac:dyDescent="0.2">
      <c r="A41" s="32" t="s">
        <v>59</v>
      </c>
      <c r="B41" s="20">
        <f>Jan!G22</f>
        <v>0</v>
      </c>
      <c r="C41" s="20">
        <f>Feb!G22</f>
        <v>0</v>
      </c>
      <c r="D41" s="20">
        <f>Mar!G22</f>
        <v>0</v>
      </c>
      <c r="E41" s="20">
        <f>Apr!G22</f>
        <v>0</v>
      </c>
      <c r="F41" s="20">
        <f>May!G22</f>
        <v>0</v>
      </c>
      <c r="G41" s="20">
        <f>Jun!G22</f>
        <v>0</v>
      </c>
      <c r="H41" s="20">
        <f>Jul!G22</f>
        <v>0</v>
      </c>
      <c r="I41" s="20">
        <f>Aug!G22</f>
        <v>0</v>
      </c>
      <c r="J41" s="20">
        <f>Sep!G22</f>
        <v>0</v>
      </c>
      <c r="K41" s="20">
        <f>Oct!G22</f>
        <v>0</v>
      </c>
      <c r="L41" s="20">
        <f>Nov!G22</f>
        <v>0</v>
      </c>
      <c r="M41" s="20">
        <f>Dec!G22</f>
        <v>0</v>
      </c>
      <c r="N41" s="91">
        <f t="shared" si="0"/>
        <v>0</v>
      </c>
      <c r="O41" s="91">
        <f t="shared" si="1"/>
        <v>0</v>
      </c>
      <c r="Q41">
        <v>0</v>
      </c>
      <c r="R41">
        <v>38</v>
      </c>
    </row>
    <row r="42" spans="1:18" x14ac:dyDescent="0.2">
      <c r="A42" s="32" t="s">
        <v>60</v>
      </c>
      <c r="B42" s="109">
        <f>Jan!G23</f>
        <v>10.81</v>
      </c>
      <c r="C42" s="109">
        <f>Feb!G23</f>
        <v>10.81</v>
      </c>
      <c r="D42" s="109">
        <f>Mar!G23</f>
        <v>5.4</v>
      </c>
      <c r="E42" s="109">
        <f>Apr!G23</f>
        <v>5.4</v>
      </c>
      <c r="F42" s="109">
        <f>May!G23</f>
        <v>5.4</v>
      </c>
      <c r="G42" s="109">
        <f>Jun!G23</f>
        <v>5.4</v>
      </c>
      <c r="H42" s="109">
        <f>Jul!G23</f>
        <v>5.4</v>
      </c>
      <c r="I42" s="109">
        <f>Aug!G23</f>
        <v>5.4</v>
      </c>
      <c r="J42" s="109">
        <f>Sep!G23</f>
        <v>5.4</v>
      </c>
      <c r="K42" s="109">
        <f>Oct!G23</f>
        <v>5.4</v>
      </c>
      <c r="L42" s="109">
        <f>Nov!G23</f>
        <v>5.4</v>
      </c>
      <c r="M42" s="109">
        <f>Dec!G23</f>
        <v>5.4</v>
      </c>
      <c r="N42" s="91">
        <f t="shared" si="0"/>
        <v>75.62</v>
      </c>
      <c r="O42" s="91">
        <f t="shared" si="1"/>
        <v>6.3016666666666667</v>
      </c>
      <c r="Q42">
        <v>5.4</v>
      </c>
      <c r="R42">
        <v>10.81</v>
      </c>
    </row>
    <row r="43" spans="1:18" x14ac:dyDescent="0.2">
      <c r="A43" s="40" t="s">
        <v>95</v>
      </c>
      <c r="B43" s="20">
        <f>Jan!G24</f>
        <v>8.65</v>
      </c>
      <c r="C43" s="20">
        <f>Feb!G24</f>
        <v>8.65</v>
      </c>
      <c r="D43" s="20">
        <f>Mar!G24</f>
        <v>8.65</v>
      </c>
      <c r="E43" s="20">
        <f>Apr!G24</f>
        <v>8.65</v>
      </c>
      <c r="F43" s="20">
        <f>May!G24</f>
        <v>8.65</v>
      </c>
      <c r="G43" s="20">
        <f>Jun!G24</f>
        <v>8.65</v>
      </c>
      <c r="H43" s="20">
        <f>Jul!G24</f>
        <v>8.65</v>
      </c>
      <c r="I43" s="20">
        <f>Aug!G24</f>
        <v>10.81</v>
      </c>
      <c r="J43" s="20">
        <f>Sep!G24</f>
        <v>10.81</v>
      </c>
      <c r="K43" s="20">
        <f>Oct!G24</f>
        <v>10.81</v>
      </c>
      <c r="L43" s="20">
        <f>Nov!G24</f>
        <v>10.81</v>
      </c>
      <c r="M43" s="20">
        <f>Dec!G24</f>
        <v>10.81</v>
      </c>
      <c r="N43" s="91">
        <f>SUM(B43:M43)</f>
        <v>114.60000000000001</v>
      </c>
      <c r="O43" s="91">
        <f t="shared" si="1"/>
        <v>9.5500000000000007</v>
      </c>
      <c r="Q43">
        <v>8.65</v>
      </c>
      <c r="R43">
        <v>8.65</v>
      </c>
    </row>
    <row r="44" spans="1:18" s="79" customFormat="1" ht="16" thickBot="1" x14ac:dyDescent="0.25">
      <c r="A44" s="84" t="s">
        <v>65</v>
      </c>
      <c r="B44" s="85">
        <f>SUM(B37:B43)</f>
        <v>454.46</v>
      </c>
      <c r="C44" s="85">
        <f t="shared" ref="C44:M44" si="7">SUM(C37:C43)</f>
        <v>921.75999999999988</v>
      </c>
      <c r="D44" s="85">
        <f>SUM(D37:D43)</f>
        <v>916.34999999999991</v>
      </c>
      <c r="E44" s="85">
        <f t="shared" si="7"/>
        <v>936.34999999999991</v>
      </c>
      <c r="F44" s="85">
        <f t="shared" si="7"/>
        <v>946.34999999999991</v>
      </c>
      <c r="G44" s="85">
        <f t="shared" si="7"/>
        <v>1021.3499999999999</v>
      </c>
      <c r="H44" s="85">
        <f t="shared" si="7"/>
        <v>981.34999999999991</v>
      </c>
      <c r="I44" s="85">
        <f t="shared" si="7"/>
        <v>1023.5099999999999</v>
      </c>
      <c r="J44" s="85">
        <f t="shared" si="7"/>
        <v>1003.5099999999999</v>
      </c>
      <c r="K44" s="85">
        <f t="shared" si="7"/>
        <v>1003.5099999999999</v>
      </c>
      <c r="L44" s="85">
        <f t="shared" si="7"/>
        <v>1023.5099999999999</v>
      </c>
      <c r="M44" s="85">
        <f t="shared" si="7"/>
        <v>983.50999999999988</v>
      </c>
      <c r="N44" s="93">
        <f t="shared" si="0"/>
        <v>11215.52</v>
      </c>
      <c r="O44" s="91">
        <f t="shared" si="1"/>
        <v>934.62666666666667</v>
      </c>
      <c r="Q44" s="79">
        <f>SUM(Q37:Q43)</f>
        <v>946.34999999999991</v>
      </c>
      <c r="R44" s="79">
        <f>SUM(R37:R43)</f>
        <v>667.45999999999992</v>
      </c>
    </row>
    <row r="45" spans="1:18" s="79" customFormat="1" x14ac:dyDescent="0.2">
      <c r="A45" s="82" t="s">
        <v>64</v>
      </c>
      <c r="B45" s="78">
        <f t="shared" ref="B45:M45" si="8">SUM(B27,B34,B44)</f>
        <v>1254.8620000000001</v>
      </c>
      <c r="C45" s="78">
        <f>SUM(C27,C34,C44)</f>
        <v>1711.884</v>
      </c>
      <c r="D45" s="78">
        <f t="shared" si="8"/>
        <v>1709.6479999999999</v>
      </c>
      <c r="E45" s="78">
        <f t="shared" si="8"/>
        <v>1716.9519999999998</v>
      </c>
      <c r="F45" s="78">
        <f t="shared" si="8"/>
        <v>1743.1479999999999</v>
      </c>
      <c r="G45" s="78">
        <f t="shared" si="8"/>
        <v>1840.6059999999998</v>
      </c>
      <c r="H45" s="78">
        <f t="shared" si="8"/>
        <v>1805.5539999999999</v>
      </c>
      <c r="I45" s="78">
        <f t="shared" si="8"/>
        <v>1853.52</v>
      </c>
      <c r="J45" s="78">
        <f t="shared" si="8"/>
        <v>1838.6799999999998</v>
      </c>
      <c r="K45" s="78">
        <f t="shared" si="8"/>
        <v>1838.7049999999999</v>
      </c>
      <c r="L45" s="78">
        <f t="shared" si="8"/>
        <v>1806.2525000000001</v>
      </c>
      <c r="M45" s="78">
        <f t="shared" si="8"/>
        <v>1771.105</v>
      </c>
      <c r="N45" s="91">
        <f t="shared" si="0"/>
        <v>20890.916499999999</v>
      </c>
      <c r="O45" s="91">
        <f t="shared" si="1"/>
        <v>1740.9097083333334</v>
      </c>
      <c r="Q45" s="79">
        <f>Q44+800</f>
        <v>1746.35</v>
      </c>
      <c r="R45" s="79">
        <f>R44+800</f>
        <v>1467.46</v>
      </c>
    </row>
    <row r="46" spans="1:18" x14ac:dyDescent="0.2">
      <c r="N46" s="91"/>
      <c r="O46" s="91"/>
    </row>
    <row r="47" spans="1:18" ht="16" thickBot="1" x14ac:dyDescent="0.25">
      <c r="A47" s="17" t="s">
        <v>67</v>
      </c>
      <c r="N47" s="91"/>
      <c r="O47" s="91"/>
    </row>
    <row r="48" spans="1:18" x14ac:dyDescent="0.2">
      <c r="A48" s="21" t="s">
        <v>62</v>
      </c>
      <c r="B48" s="20">
        <f>Jan!J11</f>
        <v>124.73</v>
      </c>
      <c r="C48" s="20">
        <f>Feb!J11</f>
        <v>77.22</v>
      </c>
      <c r="D48" s="20">
        <f>Mar!J11</f>
        <v>181.17000000000002</v>
      </c>
      <c r="E48" s="20">
        <f>Apr!J11</f>
        <v>65.88</v>
      </c>
      <c r="F48" s="20">
        <f>May!J11</f>
        <v>99.76</v>
      </c>
      <c r="G48" s="20">
        <f>Jun!J11</f>
        <v>157.88</v>
      </c>
      <c r="H48" s="20">
        <f>Jul!J11</f>
        <v>130.41</v>
      </c>
      <c r="I48" s="20">
        <f>Aug!J11</f>
        <v>219.28999999999996</v>
      </c>
      <c r="J48" s="20">
        <f>Sep!J11</f>
        <v>40.44</v>
      </c>
      <c r="K48" s="20">
        <f>Oct!J11</f>
        <v>139.61000000000001</v>
      </c>
      <c r="L48" s="20">
        <f>Nov!J11</f>
        <v>104.28</v>
      </c>
      <c r="M48" s="20">
        <f>Dec!J11</f>
        <v>77.12</v>
      </c>
      <c r="N48" s="91">
        <f t="shared" si="0"/>
        <v>1417.79</v>
      </c>
      <c r="O48" s="91">
        <f t="shared" si="1"/>
        <v>118.14916666666666</v>
      </c>
      <c r="P48" s="20">
        <v>121.86444444444444</v>
      </c>
      <c r="Q48">
        <v>150</v>
      </c>
      <c r="R48">
        <v>150</v>
      </c>
    </row>
    <row r="49" spans="1:18" x14ac:dyDescent="0.2">
      <c r="A49" s="21" t="s">
        <v>61</v>
      </c>
      <c r="B49" s="20">
        <f>Jan!J12</f>
        <v>70.83</v>
      </c>
      <c r="C49" s="20">
        <f>Feb!J12</f>
        <v>150.67000000000002</v>
      </c>
      <c r="D49" s="20">
        <f>Mar!J12</f>
        <v>32.190000000000005</v>
      </c>
      <c r="E49" s="20">
        <f>Apr!J12</f>
        <v>160.54000000000002</v>
      </c>
      <c r="F49" s="20">
        <f>May!J12</f>
        <v>120.1</v>
      </c>
      <c r="G49" s="20">
        <f>Jun!J12</f>
        <v>264.90999999999997</v>
      </c>
      <c r="H49" s="20">
        <f>Jul!J12</f>
        <v>145.30000000000001</v>
      </c>
      <c r="I49" s="20">
        <f>Aug!J12</f>
        <v>37.11</v>
      </c>
      <c r="J49" s="20">
        <f>Sep!J12</f>
        <v>145.23000000000002</v>
      </c>
      <c r="K49" s="20">
        <f>Oct!J12</f>
        <v>90.12</v>
      </c>
      <c r="L49" s="20">
        <f>Nov!J12</f>
        <v>206.17000000000002</v>
      </c>
      <c r="M49" s="20">
        <f>Dec!J12</f>
        <v>39.369999999999997</v>
      </c>
      <c r="N49" s="91">
        <f t="shared" si="0"/>
        <v>1462.54</v>
      </c>
      <c r="O49" s="91">
        <f t="shared" si="1"/>
        <v>121.87833333333333</v>
      </c>
      <c r="P49" s="20">
        <v>125.20888888888891</v>
      </c>
      <c r="Q49">
        <v>100</v>
      </c>
      <c r="R49">
        <v>100</v>
      </c>
    </row>
    <row r="50" spans="1:18" x14ac:dyDescent="0.2">
      <c r="A50" s="21" t="s">
        <v>68</v>
      </c>
      <c r="B50" s="20">
        <f>Jan!J13</f>
        <v>262.08</v>
      </c>
      <c r="C50" s="20">
        <f>Feb!J13</f>
        <v>181.05</v>
      </c>
      <c r="D50" s="20">
        <f>Mar!J13</f>
        <v>272.62999999999994</v>
      </c>
      <c r="E50" s="20">
        <f>Apr!J13</f>
        <v>239.12999999999997</v>
      </c>
      <c r="F50" s="20">
        <f>May!J13</f>
        <v>188.88</v>
      </c>
      <c r="G50" s="20">
        <f>Jun!J13</f>
        <v>257.94</v>
      </c>
      <c r="H50" s="20">
        <f>Jul!J13</f>
        <v>252.45</v>
      </c>
      <c r="I50" s="20">
        <f>Aug!J13</f>
        <v>319.64999999999998</v>
      </c>
      <c r="J50" s="20">
        <f>Sep!J13</f>
        <v>191.94</v>
      </c>
      <c r="K50" s="20">
        <f>Oct!J13</f>
        <v>245.32</v>
      </c>
      <c r="L50" s="20">
        <f>Nov!J13</f>
        <v>210.79000000000005</v>
      </c>
      <c r="M50" s="20">
        <f>Dec!J13</f>
        <v>104.35000000000001</v>
      </c>
      <c r="N50" s="91">
        <f t="shared" si="0"/>
        <v>2726.21</v>
      </c>
      <c r="O50" s="91">
        <f t="shared" si="1"/>
        <v>227.18416666666667</v>
      </c>
      <c r="P50" s="20">
        <v>240.63888888888889</v>
      </c>
      <c r="Q50">
        <v>200</v>
      </c>
      <c r="R50">
        <v>200</v>
      </c>
    </row>
    <row r="51" spans="1:18" x14ac:dyDescent="0.2">
      <c r="A51" s="21" t="s">
        <v>69</v>
      </c>
      <c r="B51" s="20">
        <f>Jan!J14</f>
        <v>162.51000000000002</v>
      </c>
      <c r="C51" s="20">
        <f>Feb!J14</f>
        <v>61.36</v>
      </c>
      <c r="D51" s="20">
        <f>Mar!J14</f>
        <v>91.52</v>
      </c>
      <c r="E51" s="20">
        <f>Apr!J14</f>
        <v>69.31</v>
      </c>
      <c r="F51" s="20">
        <f>May!J14</f>
        <v>107.83</v>
      </c>
      <c r="G51" s="20">
        <f>Jun!J14</f>
        <v>120</v>
      </c>
      <c r="H51" s="20">
        <f>Jul!J14</f>
        <v>226.68</v>
      </c>
      <c r="I51" s="20">
        <f>Aug!J14</f>
        <v>294.33000000000004</v>
      </c>
      <c r="J51" s="20">
        <f>Sep!J14</f>
        <v>86.45</v>
      </c>
      <c r="K51" s="20">
        <f>Oct!J14</f>
        <v>166.08999999999997</v>
      </c>
      <c r="L51" s="20">
        <f>Nov!J14</f>
        <v>125.76</v>
      </c>
      <c r="M51" s="20">
        <f>Dec!J14</f>
        <v>227.51</v>
      </c>
      <c r="N51" s="91">
        <f t="shared" si="0"/>
        <v>1739.35</v>
      </c>
      <c r="O51" s="91">
        <f t="shared" si="1"/>
        <v>144.94583333333333</v>
      </c>
      <c r="P51" s="20">
        <v>135.55444444444444</v>
      </c>
      <c r="Q51">
        <v>150</v>
      </c>
      <c r="R51">
        <v>200</v>
      </c>
    </row>
    <row r="52" spans="1:18" x14ac:dyDescent="0.2">
      <c r="A52" s="21" t="s">
        <v>70</v>
      </c>
      <c r="B52" s="20">
        <f>Jan!J15</f>
        <v>83.41</v>
      </c>
      <c r="C52" s="20">
        <f>Feb!J15</f>
        <v>108.58999999999999</v>
      </c>
      <c r="D52" s="20">
        <f>Mar!J15</f>
        <v>85.81</v>
      </c>
      <c r="E52" s="20">
        <f>Apr!J15</f>
        <v>40.9</v>
      </c>
      <c r="F52" s="20">
        <f>May!J15</f>
        <v>154.18</v>
      </c>
      <c r="G52" s="20">
        <f>Jun!J15</f>
        <v>71.25</v>
      </c>
      <c r="H52" s="20">
        <f>Jul!J15</f>
        <v>79.88</v>
      </c>
      <c r="I52" s="20">
        <f>Aug!J15</f>
        <v>110.13</v>
      </c>
      <c r="J52" s="20">
        <f>Sep!J15</f>
        <v>285.89999999999998</v>
      </c>
      <c r="K52" s="20">
        <f>Oct!J15</f>
        <v>158.77999999999997</v>
      </c>
      <c r="L52" s="20">
        <f>Nov!J15</f>
        <v>20</v>
      </c>
      <c r="M52" s="20">
        <f>Dec!J15</f>
        <v>105</v>
      </c>
      <c r="N52" s="91">
        <f t="shared" si="0"/>
        <v>1303.83</v>
      </c>
      <c r="O52" s="91">
        <f t="shared" si="1"/>
        <v>108.65249999999999</v>
      </c>
      <c r="P52" s="20">
        <v>113.33888888888889</v>
      </c>
      <c r="Q52">
        <v>100</v>
      </c>
      <c r="R52">
        <v>200</v>
      </c>
    </row>
    <row r="53" spans="1:18" x14ac:dyDescent="0.2">
      <c r="A53" s="21" t="s">
        <v>71</v>
      </c>
      <c r="B53" s="109">
        <f>Jan!J16</f>
        <v>92.480000000000018</v>
      </c>
      <c r="C53" s="109">
        <f>Feb!J16</f>
        <v>405.61</v>
      </c>
      <c r="D53" s="109">
        <f>Mar!J16</f>
        <v>163.73000000000002</v>
      </c>
      <c r="E53" s="109">
        <f>Apr!J16</f>
        <v>75.600000000000009</v>
      </c>
      <c r="F53" s="109">
        <f>May!J16</f>
        <v>344.96000000000004</v>
      </c>
      <c r="G53" s="109">
        <f>Jun!J16</f>
        <v>147.53</v>
      </c>
      <c r="H53" s="109">
        <f>Jul!J16</f>
        <v>409.42999999999995</v>
      </c>
      <c r="I53" s="109">
        <f>Aug!J16</f>
        <v>653.87</v>
      </c>
      <c r="J53" s="109">
        <f>Sep!J16</f>
        <v>127.82</v>
      </c>
      <c r="K53" s="109">
        <f>Oct!J16</f>
        <v>2385.6800000000003</v>
      </c>
      <c r="L53" s="109">
        <f>Nov!J16</f>
        <v>274.17</v>
      </c>
      <c r="M53" s="110">
        <f>Dec!J16</f>
        <v>209.37</v>
      </c>
      <c r="N53" s="91">
        <f t="shared" si="0"/>
        <v>5290.2500000000009</v>
      </c>
      <c r="O53" s="91">
        <f t="shared" si="1"/>
        <v>440.85416666666674</v>
      </c>
      <c r="P53" s="20">
        <v>269.00333333333333</v>
      </c>
      <c r="Q53">
        <v>300</v>
      </c>
      <c r="R53">
        <v>500</v>
      </c>
    </row>
    <row r="54" spans="1:18" x14ac:dyDescent="0.2">
      <c r="A54" s="77" t="s">
        <v>103</v>
      </c>
      <c r="B54" s="20">
        <f>Jan!J17</f>
        <v>4.4499999999999993</v>
      </c>
      <c r="C54" s="20">
        <f>Feb!J17</f>
        <v>3.4299999999999997</v>
      </c>
      <c r="D54" s="20">
        <f>Mar!J17</f>
        <v>6.7899999999999991</v>
      </c>
      <c r="E54" s="20">
        <f>Apr!J17</f>
        <v>5.81</v>
      </c>
      <c r="F54" s="20">
        <f>May!J17</f>
        <v>3.07</v>
      </c>
      <c r="G54" s="20">
        <f>Jun!J17</f>
        <v>6.98</v>
      </c>
      <c r="H54" s="20">
        <f>Jul!J17</f>
        <v>10.94</v>
      </c>
      <c r="I54" s="20">
        <f>Aug!J17</f>
        <v>19.29</v>
      </c>
      <c r="J54" s="20">
        <f>Sep!J17</f>
        <v>8.91</v>
      </c>
      <c r="K54" s="20">
        <f>Oct!J17</f>
        <v>3.6799999999999997</v>
      </c>
      <c r="L54" s="20">
        <f>Nov!J17</f>
        <v>9.73</v>
      </c>
      <c r="M54" s="20">
        <f>Dec!J17</f>
        <v>13.739999999999998</v>
      </c>
      <c r="N54" s="91">
        <f>SUM(B54:M54)</f>
        <v>96.82</v>
      </c>
      <c r="O54" s="91">
        <f t="shared" si="1"/>
        <v>8.0683333333333334</v>
      </c>
      <c r="P54" s="20">
        <v>7.7411111111111115</v>
      </c>
      <c r="Q54">
        <v>5</v>
      </c>
      <c r="R54">
        <v>20</v>
      </c>
    </row>
    <row r="55" spans="1:18" ht="16" thickBot="1" x14ac:dyDescent="0.25">
      <c r="A55" s="111" t="s">
        <v>102</v>
      </c>
      <c r="B55" s="72">
        <f>Jan!J18</f>
        <v>516.91999999999996</v>
      </c>
      <c r="C55" s="72">
        <f>Feb!J18</f>
        <v>373.22</v>
      </c>
      <c r="D55" s="72">
        <f>Mar!J18</f>
        <v>24.02</v>
      </c>
      <c r="E55" s="72">
        <f>Apr!J18</f>
        <v>398.35</v>
      </c>
      <c r="F55" s="72">
        <f>May!J18</f>
        <v>582.76</v>
      </c>
      <c r="G55" s="72">
        <f>Jun!J18</f>
        <v>77.430000000000049</v>
      </c>
      <c r="H55" s="72">
        <f>Jul!J18</f>
        <v>25.74</v>
      </c>
      <c r="I55" s="72">
        <f>Aug!J18</f>
        <v>26.5</v>
      </c>
      <c r="J55" s="72">
        <f>Sep!J18</f>
        <v>31.5</v>
      </c>
      <c r="K55" s="72">
        <f>Oct!J18</f>
        <v>24.92</v>
      </c>
      <c r="L55" s="72">
        <f>Nov!J18</f>
        <v>10</v>
      </c>
      <c r="M55" s="112">
        <f>Dec!J18</f>
        <v>415.54999999999995</v>
      </c>
      <c r="N55" s="93">
        <f>SUM(B55:M55)</f>
        <v>2506.91</v>
      </c>
      <c r="O55" s="91">
        <f t="shared" si="1"/>
        <v>208.90916666666666</v>
      </c>
      <c r="P55" s="20">
        <v>228.49333333333334</v>
      </c>
    </row>
    <row r="56" spans="1:18" s="79" customFormat="1" x14ac:dyDescent="0.2">
      <c r="A56" s="84" t="s">
        <v>72</v>
      </c>
      <c r="B56" s="78">
        <f>SUM(B48:B55)</f>
        <v>1317.4099999999999</v>
      </c>
      <c r="C56" s="78">
        <f>SUM(C48:C55)</f>
        <v>1361.15</v>
      </c>
      <c r="D56" s="78">
        <f t="shared" ref="D56:M56" si="9">SUM(D48:D55)</f>
        <v>857.8599999999999</v>
      </c>
      <c r="E56" s="78">
        <f t="shared" si="9"/>
        <v>1055.52</v>
      </c>
      <c r="F56" s="78">
        <f t="shared" si="9"/>
        <v>1601.54</v>
      </c>
      <c r="G56" s="78">
        <f t="shared" si="9"/>
        <v>1103.92</v>
      </c>
      <c r="H56" s="78">
        <f t="shared" si="9"/>
        <v>1280.8300000000002</v>
      </c>
      <c r="I56" s="78">
        <f t="shared" si="9"/>
        <v>1680.17</v>
      </c>
      <c r="J56" s="78">
        <f t="shared" si="9"/>
        <v>918.18999999999994</v>
      </c>
      <c r="K56" s="78">
        <f t="shared" si="9"/>
        <v>3214.2000000000003</v>
      </c>
      <c r="L56" s="78">
        <f t="shared" si="9"/>
        <v>960.90000000000009</v>
      </c>
      <c r="M56" s="78">
        <f t="shared" si="9"/>
        <v>1192.01</v>
      </c>
      <c r="N56" s="91">
        <f t="shared" si="0"/>
        <v>16543.7</v>
      </c>
      <c r="O56" s="91">
        <f t="shared" si="1"/>
        <v>1378.6416666666667</v>
      </c>
      <c r="P56" s="79">
        <v>1225.4614285714288</v>
      </c>
      <c r="Q56" s="79">
        <f>SUM(Q48:Q55)</f>
        <v>1005</v>
      </c>
      <c r="R56" s="79">
        <f>SUM(R48:R55)</f>
        <v>1370</v>
      </c>
    </row>
    <row r="57" spans="1:18" ht="16" thickBot="1" x14ac:dyDescent="0.25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93"/>
      <c r="O57" s="91"/>
    </row>
    <row r="58" spans="1:18" s="80" customFormat="1" ht="16" thickBot="1" x14ac:dyDescent="0.25">
      <c r="A58" s="56" t="s">
        <v>73</v>
      </c>
      <c r="B58" s="88">
        <f>SUM(B45,B56)</f>
        <v>2572.2719999999999</v>
      </c>
      <c r="C58" s="88">
        <f t="shared" ref="C58:M58" si="10">SUM(C45,C56)</f>
        <v>3073.0340000000001</v>
      </c>
      <c r="D58" s="88">
        <f t="shared" si="10"/>
        <v>2567.5079999999998</v>
      </c>
      <c r="E58" s="88">
        <f t="shared" si="10"/>
        <v>2772.4719999999998</v>
      </c>
      <c r="F58" s="88">
        <f t="shared" si="10"/>
        <v>3344.6880000000001</v>
      </c>
      <c r="G58" s="88">
        <f t="shared" si="10"/>
        <v>2944.5259999999998</v>
      </c>
      <c r="H58" s="88">
        <f t="shared" si="10"/>
        <v>3086.384</v>
      </c>
      <c r="I58" s="88">
        <f t="shared" si="10"/>
        <v>3533.69</v>
      </c>
      <c r="J58" s="88">
        <f t="shared" si="10"/>
        <v>2756.87</v>
      </c>
      <c r="K58" s="88">
        <f t="shared" si="10"/>
        <v>5052.9050000000007</v>
      </c>
      <c r="L58" s="88">
        <f t="shared" si="10"/>
        <v>2767.1525000000001</v>
      </c>
      <c r="M58" s="88">
        <f t="shared" si="10"/>
        <v>2963.1149999999998</v>
      </c>
      <c r="N58" s="96">
        <f t="shared" si="0"/>
        <v>37434.616499999996</v>
      </c>
      <c r="O58" s="91">
        <f t="shared" si="1"/>
        <v>3119.5513749999996</v>
      </c>
      <c r="Q58" s="80">
        <f>Q45+Q56</f>
        <v>2751.35</v>
      </c>
      <c r="R58" s="80">
        <f>R45+R56</f>
        <v>2837.46</v>
      </c>
    </row>
    <row r="59" spans="1:18" x14ac:dyDescent="0.2">
      <c r="N59" s="91"/>
      <c r="O59" s="91"/>
      <c r="Q59">
        <v>3300</v>
      </c>
      <c r="R59">
        <v>3200</v>
      </c>
    </row>
    <row r="60" spans="1:18" x14ac:dyDescent="0.2">
      <c r="A60" t="s">
        <v>74</v>
      </c>
      <c r="B60" s="20">
        <f>B22-B58+B24+B2</f>
        <v>11432.028000000002</v>
      </c>
      <c r="C60" s="20">
        <f t="shared" ref="C60:M60" si="11">C22+C24-C58+B60</f>
        <v>16230.146000000001</v>
      </c>
      <c r="D60" s="20">
        <f t="shared" si="11"/>
        <v>18161.830000000002</v>
      </c>
      <c r="E60" s="20">
        <f t="shared" si="11"/>
        <v>18767.020000000004</v>
      </c>
      <c r="F60" s="20">
        <f t="shared" si="11"/>
        <v>18522.024000000005</v>
      </c>
      <c r="G60" s="20">
        <f t="shared" si="11"/>
        <v>19035.090000000004</v>
      </c>
      <c r="H60" s="20">
        <f t="shared" si="11"/>
        <v>19560.906400000003</v>
      </c>
      <c r="I60" s="20">
        <f t="shared" si="11"/>
        <v>18107.663200000003</v>
      </c>
      <c r="J60" s="20">
        <f t="shared" si="11"/>
        <v>18752.2</v>
      </c>
      <c r="K60" s="20">
        <f t="shared" si="11"/>
        <v>18114.55128</v>
      </c>
      <c r="L60" s="20">
        <f t="shared" si="11"/>
        <v>18748.80558</v>
      </c>
      <c r="M60" s="20">
        <f t="shared" si="11"/>
        <v>17485.97898</v>
      </c>
      <c r="N60" s="92">
        <f>M60</f>
        <v>17485.97898</v>
      </c>
      <c r="O60" s="91">
        <f t="shared" si="1"/>
        <v>17743.186953333337</v>
      </c>
      <c r="Q60">
        <f>Q59-Q58</f>
        <v>548.65000000000009</v>
      </c>
      <c r="R60">
        <f>R59-R58</f>
        <v>362.53999999999996</v>
      </c>
    </row>
  </sheetData>
  <mergeCells count="2">
    <mergeCell ref="E1:F1"/>
    <mergeCell ref="J1:K1"/>
  </mergeCells>
  <pageMargins left="0.7" right="0.7" top="0.75" bottom="0.75" header="0.3" footer="0.3"/>
  <pageSetup orientation="portrait" horizontalDpi="90" verticalDpi="90" r:id="rId1"/>
  <ignoredErrors>
    <ignoredError sqref="C7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D6" sqref="D6"/>
    </sheetView>
  </sheetViews>
  <sheetFormatPr baseColWidth="10" defaultColWidth="8.83203125" defaultRowHeight="15" x14ac:dyDescent="0.2"/>
  <cols>
    <col min="1" max="1" width="15" bestFit="1" customWidth="1"/>
    <col min="2" max="2" width="11.33203125" bestFit="1" customWidth="1"/>
    <col min="3" max="3" width="22" bestFit="1" customWidth="1"/>
    <col min="4" max="4" width="10.6640625" style="119" bestFit="1" customWidth="1"/>
    <col min="5" max="5" width="10.5" bestFit="1" customWidth="1"/>
    <col min="6" max="6" width="7.83203125" bestFit="1" customWidth="1"/>
    <col min="7" max="7" width="14.5" bestFit="1" customWidth="1"/>
  </cols>
  <sheetData>
    <row r="1" spans="1:7" x14ac:dyDescent="0.2">
      <c r="A1" t="s">
        <v>99</v>
      </c>
      <c r="B1" s="20">
        <f>Jan!J30+Feb!J30+Mar!J30+Apr!J30+May!J30+Jun!J30+Jul!J30+Aug!J30+Sep!J30+Oct!J30+Nov!J30+Dec!J30</f>
        <v>1210.188979999999</v>
      </c>
      <c r="G1" s="121" t="s">
        <v>171</v>
      </c>
    </row>
    <row r="2" spans="1:7" ht="16" thickBot="1" x14ac:dyDescent="0.25">
      <c r="A2" s="3"/>
      <c r="G2" s="122">
        <f>SUM(G4:G11)</f>
        <v>65</v>
      </c>
    </row>
    <row r="3" spans="1:7" x14ac:dyDescent="0.2">
      <c r="C3" s="118" t="s">
        <v>96</v>
      </c>
      <c r="D3" s="120" t="s">
        <v>78</v>
      </c>
      <c r="E3" s="118" t="s">
        <v>80</v>
      </c>
      <c r="F3" s="118" t="s">
        <v>97</v>
      </c>
      <c r="G3" s="118" t="s">
        <v>98</v>
      </c>
    </row>
    <row r="4" spans="1:7" x14ac:dyDescent="0.2">
      <c r="C4" t="s">
        <v>343</v>
      </c>
      <c r="D4" s="119">
        <v>42842</v>
      </c>
      <c r="E4" s="3">
        <v>150</v>
      </c>
      <c r="F4">
        <v>10</v>
      </c>
      <c r="G4" s="20">
        <f>E4/F4</f>
        <v>15</v>
      </c>
    </row>
    <row r="5" spans="1:7" x14ac:dyDescent="0.2">
      <c r="C5" t="s">
        <v>249</v>
      </c>
      <c r="D5" s="119">
        <v>42842</v>
      </c>
      <c r="E5" s="3">
        <v>500</v>
      </c>
      <c r="F5">
        <v>10</v>
      </c>
      <c r="G5" s="20">
        <f>E5/F5</f>
        <v>50</v>
      </c>
    </row>
    <row r="6" spans="1:7" x14ac:dyDescent="0.2">
      <c r="E6" s="3"/>
      <c r="G6" s="20"/>
    </row>
    <row r="7" spans="1:7" x14ac:dyDescent="0.2">
      <c r="E7" s="3"/>
      <c r="G7" s="20"/>
    </row>
    <row r="8" spans="1:7" x14ac:dyDescent="0.2">
      <c r="G8" s="20"/>
    </row>
    <row r="9" spans="1:7" x14ac:dyDescent="0.2">
      <c r="G9" s="20"/>
    </row>
    <row r="10" spans="1:7" x14ac:dyDescent="0.2">
      <c r="G10" s="20"/>
    </row>
    <row r="11" spans="1:7" x14ac:dyDescent="0.2">
      <c r="G11" s="2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H36"/>
  <sheetViews>
    <sheetView zoomScale="90" zoomScaleNormal="90" zoomScalePageLayoutView="90" workbookViewId="0">
      <selection activeCell="G18" sqref="G18"/>
    </sheetView>
  </sheetViews>
  <sheetFormatPr baseColWidth="10" defaultColWidth="8.83203125" defaultRowHeight="15" x14ac:dyDescent="0.2"/>
  <cols>
    <col min="1" max="1" width="1.83203125" customWidth="1"/>
    <col min="2" max="2" width="24.5" bestFit="1" customWidth="1"/>
    <col min="3" max="4" width="14.6640625" customWidth="1"/>
    <col min="5" max="5" width="3.6640625" customWidth="1"/>
    <col min="6" max="6" width="25.83203125" bestFit="1" customWidth="1"/>
    <col min="7" max="7" width="14.6640625" style="3" customWidth="1"/>
    <col min="8" max="8" width="3.5" customWidth="1"/>
    <col min="9" max="9" width="25.5" bestFit="1" customWidth="1"/>
    <col min="10" max="10" width="12.1640625" bestFit="1" customWidth="1"/>
    <col min="11" max="11" width="3.6640625" customWidth="1"/>
    <col min="12" max="12" width="11.5" style="70" customWidth="1"/>
    <col min="13" max="13" width="12" bestFit="1" customWidth="1"/>
    <col min="14" max="14" width="8.83203125" style="20"/>
    <col min="15" max="15" width="2.6640625" customWidth="1"/>
    <col min="16" max="16" width="11.5" style="70" customWidth="1"/>
    <col min="17" max="17" width="12" bestFit="1" customWidth="1"/>
    <col min="18" max="18" width="8.83203125" style="20"/>
    <col min="19" max="19" width="2.6640625" customWidth="1"/>
    <col min="20" max="20" width="11.5" style="70" customWidth="1"/>
    <col min="21" max="21" width="17.6640625" bestFit="1" customWidth="1"/>
    <col min="22" max="22" width="10.1640625" style="20" bestFit="1" customWidth="1"/>
    <col min="23" max="23" width="2.6640625" customWidth="1"/>
    <col min="24" max="24" width="11.5" style="70" customWidth="1"/>
    <col min="25" max="25" width="17.6640625" bestFit="1" customWidth="1"/>
    <col min="26" max="26" width="8.83203125" style="20"/>
    <col min="27" max="27" width="2.6640625" customWidth="1"/>
    <col min="28" max="28" width="11.5" style="70" customWidth="1"/>
    <col min="29" max="29" width="19.1640625" bestFit="1" customWidth="1"/>
    <col min="30" max="30" width="8.83203125" style="20"/>
    <col min="31" max="31" width="2.6640625" customWidth="1"/>
    <col min="32" max="32" width="11.5" style="70" customWidth="1"/>
    <col min="33" max="33" width="26.33203125" bestFit="1" customWidth="1"/>
    <col min="34" max="34" width="8.83203125" style="20"/>
  </cols>
  <sheetData>
    <row r="1" spans="2:34" ht="10.5" customHeight="1" thickBot="1" x14ac:dyDescent="0.25"/>
    <row r="2" spans="2:34" ht="16" thickBot="1" x14ac:dyDescent="0.25">
      <c r="B2" s="16" t="s">
        <v>30</v>
      </c>
      <c r="F2" t="s">
        <v>47</v>
      </c>
      <c r="G2" s="3">
        <f>'Monthly Breakdown'!B2</f>
        <v>10665.79</v>
      </c>
      <c r="I2" s="20"/>
    </row>
    <row r="3" spans="2:34" x14ac:dyDescent="0.2">
      <c r="B3" s="21" t="s">
        <v>38</v>
      </c>
      <c r="C3" s="20">
        <f>C6*24</f>
        <v>57024</v>
      </c>
      <c r="F3" s="105" t="s">
        <v>46</v>
      </c>
      <c r="G3" s="15">
        <f>D29</f>
        <v>3338.51</v>
      </c>
    </row>
    <row r="4" spans="2:34" x14ac:dyDescent="0.2">
      <c r="F4" t="s">
        <v>48</v>
      </c>
      <c r="G4" s="115">
        <v>0</v>
      </c>
      <c r="I4" t="s">
        <v>112</v>
      </c>
      <c r="J4" s="20">
        <f>SUM(N4,R4,V4,Z4,AD4,AH4)</f>
        <v>403.96</v>
      </c>
      <c r="L4" s="134" t="s">
        <v>105</v>
      </c>
      <c r="M4" s="134"/>
      <c r="N4" s="20">
        <f>150-N8</f>
        <v>25.269999999999996</v>
      </c>
      <c r="P4" s="134" t="s">
        <v>106</v>
      </c>
      <c r="Q4" s="134"/>
      <c r="R4" s="20">
        <f>100-R8</f>
        <v>29.17</v>
      </c>
      <c r="T4" s="134" t="s">
        <v>107</v>
      </c>
      <c r="U4" s="134"/>
      <c r="V4" s="20">
        <f>200-V8</f>
        <v>-62.079999999999984</v>
      </c>
      <c r="X4" s="134" t="s">
        <v>108</v>
      </c>
      <c r="Y4" s="134"/>
      <c r="Z4" s="20">
        <f>150-Z8</f>
        <v>-12.510000000000019</v>
      </c>
      <c r="AB4" s="134" t="s">
        <v>109</v>
      </c>
      <c r="AC4" s="134"/>
      <c r="AD4" s="20">
        <f>100-AD8</f>
        <v>16.590000000000003</v>
      </c>
      <c r="AF4" s="134" t="s">
        <v>110</v>
      </c>
      <c r="AG4" s="134"/>
      <c r="AH4" s="20">
        <f>500-AH8</f>
        <v>407.52</v>
      </c>
    </row>
    <row r="5" spans="2:34" ht="16" thickBot="1" x14ac:dyDescent="0.25">
      <c r="B5" s="29" t="s">
        <v>15</v>
      </c>
      <c r="C5" s="30" t="s">
        <v>31</v>
      </c>
      <c r="D5" s="31" t="s">
        <v>32</v>
      </c>
      <c r="F5" s="105" t="s">
        <v>49</v>
      </c>
      <c r="G5" s="15">
        <f>SUM(G2:G4)</f>
        <v>14004.300000000001</v>
      </c>
    </row>
    <row r="6" spans="2:34" ht="16" thickBot="1" x14ac:dyDescent="0.25">
      <c r="B6" s="32" t="s">
        <v>33</v>
      </c>
      <c r="C6" s="103">
        <v>2376</v>
      </c>
      <c r="D6" s="116">
        <v>2480.54</v>
      </c>
      <c r="L6" s="130" t="s">
        <v>77</v>
      </c>
      <c r="M6" s="130"/>
      <c r="N6" s="72"/>
      <c r="O6" s="17"/>
      <c r="P6" s="73"/>
      <c r="Q6" s="17"/>
      <c r="R6" s="72"/>
      <c r="S6" s="17"/>
      <c r="T6" s="73"/>
      <c r="U6" s="17"/>
      <c r="V6" s="72"/>
      <c r="W6" s="17"/>
      <c r="X6" s="73"/>
      <c r="Y6" s="17"/>
      <c r="Z6" s="72"/>
      <c r="AA6" s="17"/>
      <c r="AB6" s="73"/>
      <c r="AC6" s="17"/>
      <c r="AD6" s="72"/>
      <c r="AE6" s="17"/>
      <c r="AF6" s="73"/>
      <c r="AG6" s="17"/>
      <c r="AH6" s="72"/>
    </row>
    <row r="7" spans="2:34" ht="16" thickBot="1" x14ac:dyDescent="0.25">
      <c r="B7" s="32" t="s">
        <v>34</v>
      </c>
      <c r="C7" s="6">
        <v>0</v>
      </c>
      <c r="D7" s="33">
        <v>104.54</v>
      </c>
      <c r="F7" s="57" t="s">
        <v>50</v>
      </c>
      <c r="G7" s="58"/>
      <c r="H7" s="38"/>
      <c r="I7" s="38"/>
      <c r="J7" s="39"/>
      <c r="L7" s="131" t="s">
        <v>62</v>
      </c>
      <c r="M7" s="131"/>
      <c r="P7" s="132" t="s">
        <v>61</v>
      </c>
      <c r="Q7" s="132"/>
      <c r="T7" s="132" t="s">
        <v>68</v>
      </c>
      <c r="U7" s="132"/>
      <c r="X7" s="132" t="s">
        <v>69</v>
      </c>
      <c r="Y7" s="132"/>
      <c r="AB7" s="132" t="s">
        <v>81</v>
      </c>
      <c r="AC7" s="132"/>
      <c r="AF7" s="132" t="s">
        <v>111</v>
      </c>
      <c r="AG7" s="132"/>
    </row>
    <row r="8" spans="2:34" ht="16" thickBot="1" x14ac:dyDescent="0.25">
      <c r="B8" s="34" t="s">
        <v>66</v>
      </c>
      <c r="C8" s="18">
        <f>C6+C7</f>
        <v>2376</v>
      </c>
      <c r="D8" s="35">
        <f>D6+D7</f>
        <v>2585.08</v>
      </c>
      <c r="F8" s="59" t="s">
        <v>90</v>
      </c>
      <c r="G8" s="104">
        <v>700</v>
      </c>
      <c r="H8" s="21"/>
      <c r="I8" s="21"/>
      <c r="J8" s="60"/>
      <c r="L8" s="133" t="s">
        <v>82</v>
      </c>
      <c r="M8" s="133"/>
      <c r="N8" s="71">
        <f>SUM(N10:N50)</f>
        <v>124.73</v>
      </c>
      <c r="P8" s="133" t="s">
        <v>82</v>
      </c>
      <c r="Q8" s="133"/>
      <c r="R8" s="71">
        <f>SUM(R10:R50)</f>
        <v>70.83</v>
      </c>
      <c r="T8" s="133" t="s">
        <v>82</v>
      </c>
      <c r="U8" s="133"/>
      <c r="V8" s="71">
        <f>SUM(V10:V50)</f>
        <v>262.08</v>
      </c>
      <c r="X8" s="133" t="s">
        <v>82</v>
      </c>
      <c r="Y8" s="133"/>
      <c r="Z8" s="71">
        <f>SUM(Z10:Z50)</f>
        <v>162.51000000000002</v>
      </c>
      <c r="AB8" s="133" t="s">
        <v>82</v>
      </c>
      <c r="AC8" s="133"/>
      <c r="AD8" s="71">
        <f>SUM(AD10:AD50)</f>
        <v>83.41</v>
      </c>
      <c r="AF8" s="133" t="s">
        <v>82</v>
      </c>
      <c r="AG8" s="133"/>
      <c r="AH8" s="71">
        <f>SUM(AH10:AH50)</f>
        <v>92.480000000000018</v>
      </c>
    </row>
    <row r="9" spans="2:34" x14ac:dyDescent="0.2">
      <c r="B9" s="36"/>
      <c r="C9" s="19"/>
      <c r="D9" s="37">
        <f>SUM(C8:D8)</f>
        <v>4961.08</v>
      </c>
      <c r="F9" s="32"/>
      <c r="G9" s="6"/>
      <c r="H9" s="21"/>
      <c r="I9" s="21"/>
      <c r="J9" s="60"/>
      <c r="L9" s="74" t="s">
        <v>78</v>
      </c>
      <c r="M9" s="19" t="s">
        <v>79</v>
      </c>
      <c r="N9" s="75" t="s">
        <v>80</v>
      </c>
      <c r="P9" s="74" t="s">
        <v>78</v>
      </c>
      <c r="Q9" s="19" t="s">
        <v>79</v>
      </c>
      <c r="R9" s="75" t="s">
        <v>80</v>
      </c>
      <c r="T9" s="74" t="s">
        <v>78</v>
      </c>
      <c r="U9" s="19" t="s">
        <v>79</v>
      </c>
      <c r="V9" s="75" t="s">
        <v>80</v>
      </c>
      <c r="X9" s="74" t="s">
        <v>78</v>
      </c>
      <c r="Y9" s="19" t="s">
        <v>79</v>
      </c>
      <c r="Z9" s="75" t="s">
        <v>80</v>
      </c>
      <c r="AB9" s="74" t="s">
        <v>78</v>
      </c>
      <c r="AC9" s="19" t="s">
        <v>79</v>
      </c>
      <c r="AD9" s="75" t="s">
        <v>80</v>
      </c>
      <c r="AF9" s="74" t="s">
        <v>78</v>
      </c>
      <c r="AG9" s="19" t="s">
        <v>79</v>
      </c>
      <c r="AH9" s="75" t="s">
        <v>80</v>
      </c>
    </row>
    <row r="10" spans="2:34" ht="16" thickBot="1" x14ac:dyDescent="0.25">
      <c r="F10" s="61" t="s">
        <v>51</v>
      </c>
      <c r="G10" s="6"/>
      <c r="H10" s="21"/>
      <c r="I10" s="17" t="s">
        <v>67</v>
      </c>
      <c r="J10" s="60"/>
      <c r="L10" s="70">
        <v>42372</v>
      </c>
      <c r="M10" t="s">
        <v>122</v>
      </c>
      <c r="N10" s="100">
        <v>32.24</v>
      </c>
      <c r="P10" s="70">
        <v>42373</v>
      </c>
      <c r="Q10" t="s">
        <v>119</v>
      </c>
      <c r="R10" s="115">
        <v>58.76</v>
      </c>
      <c r="T10" s="70">
        <v>42371</v>
      </c>
      <c r="U10" t="s">
        <v>116</v>
      </c>
      <c r="V10" s="100">
        <v>14.78</v>
      </c>
      <c r="X10" s="70">
        <v>42376</v>
      </c>
      <c r="Y10" t="s">
        <v>123</v>
      </c>
      <c r="Z10" s="100">
        <v>11.2</v>
      </c>
      <c r="AB10" s="70">
        <v>42371</v>
      </c>
      <c r="AC10" t="s">
        <v>115</v>
      </c>
      <c r="AD10" s="100">
        <v>40</v>
      </c>
      <c r="AF10" s="70">
        <v>42370</v>
      </c>
      <c r="AG10" t="s">
        <v>113</v>
      </c>
      <c r="AH10" s="100">
        <v>3.66</v>
      </c>
    </row>
    <row r="11" spans="2:34" ht="16" thickBot="1" x14ac:dyDescent="0.25">
      <c r="B11" s="29" t="s">
        <v>41</v>
      </c>
      <c r="C11" s="38"/>
      <c r="D11" s="39"/>
      <c r="F11" s="62" t="s">
        <v>52</v>
      </c>
      <c r="G11" s="103">
        <f>102.14/5</f>
        <v>20.428000000000001</v>
      </c>
      <c r="H11" s="21"/>
      <c r="I11" s="21" t="s">
        <v>62</v>
      </c>
      <c r="J11" s="33">
        <f>N8</f>
        <v>124.73</v>
      </c>
      <c r="L11" s="70">
        <v>42380</v>
      </c>
      <c r="M11" t="s">
        <v>133</v>
      </c>
      <c r="N11" s="100">
        <v>29.39</v>
      </c>
      <c r="P11" s="70">
        <v>42380</v>
      </c>
      <c r="Q11" t="s">
        <v>122</v>
      </c>
      <c r="R11" s="20">
        <v>7.58</v>
      </c>
      <c r="T11" s="70">
        <v>42371</v>
      </c>
      <c r="U11" t="s">
        <v>117</v>
      </c>
      <c r="V11" s="100">
        <f>113.66-90</f>
        <v>23.659999999999997</v>
      </c>
      <c r="X11" s="70">
        <v>42377</v>
      </c>
      <c r="Y11" t="s">
        <v>125</v>
      </c>
      <c r="Z11" s="100">
        <v>5</v>
      </c>
      <c r="AB11" s="70">
        <v>42378</v>
      </c>
      <c r="AC11" t="s">
        <v>131</v>
      </c>
      <c r="AD11" s="100">
        <v>3</v>
      </c>
      <c r="AF11" s="70">
        <v>42370</v>
      </c>
      <c r="AG11" t="s">
        <v>114</v>
      </c>
      <c r="AH11" s="100">
        <f>10+7.05</f>
        <v>17.05</v>
      </c>
    </row>
    <row r="12" spans="2:34" x14ac:dyDescent="0.2">
      <c r="B12" s="40" t="s">
        <v>37</v>
      </c>
      <c r="C12" s="41">
        <f>0.138463804713805*C8</f>
        <v>328.99000000000069</v>
      </c>
      <c r="D12" s="41">
        <f>0.158060872390796*D8</f>
        <v>408.59999999999889</v>
      </c>
      <c r="F12" s="62" t="s">
        <v>53</v>
      </c>
      <c r="G12" s="103">
        <f>+(73.33+49.92)/5</f>
        <v>24.65</v>
      </c>
      <c r="H12" s="21"/>
      <c r="I12" s="21" t="s">
        <v>61</v>
      </c>
      <c r="J12" s="33">
        <f>R8</f>
        <v>70.83</v>
      </c>
      <c r="L12" s="70">
        <v>42388</v>
      </c>
      <c r="M12" t="s">
        <v>150</v>
      </c>
      <c r="N12" s="100">
        <v>30.44</v>
      </c>
      <c r="P12" s="70">
        <v>42387</v>
      </c>
      <c r="Q12" t="s">
        <v>140</v>
      </c>
      <c r="R12" s="100">
        <v>4.49</v>
      </c>
      <c r="T12" s="70">
        <v>42373</v>
      </c>
      <c r="U12" t="s">
        <v>120</v>
      </c>
      <c r="V12" s="115">
        <v>7.85</v>
      </c>
      <c r="X12" s="70">
        <v>42378</v>
      </c>
      <c r="Y12" t="s">
        <v>127</v>
      </c>
      <c r="Z12" s="100">
        <v>11.99</v>
      </c>
      <c r="AB12" s="70">
        <v>42387</v>
      </c>
      <c r="AC12" t="s">
        <v>138</v>
      </c>
      <c r="AD12" s="20">
        <v>5</v>
      </c>
      <c r="AF12" s="70">
        <v>42372</v>
      </c>
      <c r="AG12" t="s">
        <v>118</v>
      </c>
      <c r="AH12" s="20">
        <v>10.25</v>
      </c>
    </row>
    <row r="13" spans="2:34" x14ac:dyDescent="0.2">
      <c r="B13" s="40" t="s">
        <v>35</v>
      </c>
      <c r="C13" s="41">
        <f>0.0620580808080808*C8</f>
        <v>147.44999999999999</v>
      </c>
      <c r="D13" s="41">
        <f>0.0648800037136181*D8</f>
        <v>167.71999999999989</v>
      </c>
      <c r="F13" s="62" t="s">
        <v>54</v>
      </c>
      <c r="G13" s="103">
        <f>+(7.65+36.33+10.35+8.79)/5+12.7</f>
        <v>25.323999999999998</v>
      </c>
      <c r="H13" s="21"/>
      <c r="I13" s="21" t="s">
        <v>68</v>
      </c>
      <c r="J13" s="33">
        <f>V8</f>
        <v>262.08</v>
      </c>
      <c r="L13" s="70">
        <v>42394</v>
      </c>
      <c r="M13" t="s">
        <v>122</v>
      </c>
      <c r="N13" s="100">
        <v>32.659999999999997</v>
      </c>
      <c r="T13" s="70">
        <v>42374</v>
      </c>
      <c r="U13" t="s">
        <v>121</v>
      </c>
      <c r="V13" s="100">
        <v>18.940000000000001</v>
      </c>
      <c r="X13" s="70">
        <v>42378</v>
      </c>
      <c r="Y13" t="s">
        <v>128</v>
      </c>
      <c r="Z13" s="100">
        <v>12.99</v>
      </c>
      <c r="AB13" s="70">
        <v>42391</v>
      </c>
      <c r="AC13" t="s">
        <v>144</v>
      </c>
      <c r="AD13" s="20">
        <v>15.41</v>
      </c>
      <c r="AF13" s="70">
        <v>42377</v>
      </c>
      <c r="AG13" t="s">
        <v>132</v>
      </c>
      <c r="AH13" s="100">
        <v>21.65</v>
      </c>
    </row>
    <row r="14" spans="2:34" x14ac:dyDescent="0.2">
      <c r="B14" s="40" t="s">
        <v>36</v>
      </c>
      <c r="C14" s="41">
        <f>0.0145159932659933*C8</f>
        <v>34.49000000000008</v>
      </c>
      <c r="D14" s="41">
        <f>0.0151716774722639*D8</f>
        <v>39.219999999999963</v>
      </c>
      <c r="F14" s="62" t="s">
        <v>55</v>
      </c>
      <c r="G14" s="103">
        <v>30</v>
      </c>
      <c r="H14" s="21"/>
      <c r="I14" s="21" t="s">
        <v>69</v>
      </c>
      <c r="J14" s="33">
        <f>Z8</f>
        <v>162.51000000000002</v>
      </c>
      <c r="T14" s="70">
        <v>42376</v>
      </c>
      <c r="U14" t="s">
        <v>124</v>
      </c>
      <c r="V14" s="100">
        <v>61.94</v>
      </c>
      <c r="X14" s="70">
        <v>42378</v>
      </c>
      <c r="Y14" t="s">
        <v>129</v>
      </c>
      <c r="Z14" s="100">
        <v>22</v>
      </c>
      <c r="AB14" s="70">
        <v>42396</v>
      </c>
      <c r="AC14" t="s">
        <v>149</v>
      </c>
      <c r="AD14" s="20">
        <v>20</v>
      </c>
      <c r="AF14" s="70">
        <v>42386</v>
      </c>
      <c r="AG14" t="s">
        <v>137</v>
      </c>
      <c r="AH14" s="100">
        <v>7.57</v>
      </c>
    </row>
    <row r="15" spans="2:34" x14ac:dyDescent="0.2">
      <c r="B15" s="42" t="s">
        <v>39</v>
      </c>
      <c r="C15" s="22">
        <f>SUM(C12:C14)</f>
        <v>510.93000000000075</v>
      </c>
      <c r="D15" s="43">
        <f>SUM(D12:D14)</f>
        <v>615.53999999999871</v>
      </c>
      <c r="F15" s="63" t="s">
        <v>56</v>
      </c>
      <c r="G15" s="104">
        <f>SUM(G11:G14)</f>
        <v>100.402</v>
      </c>
      <c r="H15" s="21"/>
      <c r="I15" s="21" t="s">
        <v>70</v>
      </c>
      <c r="J15" s="33">
        <f>AD8</f>
        <v>83.41</v>
      </c>
      <c r="N15" s="100"/>
      <c r="T15" s="70">
        <v>42379</v>
      </c>
      <c r="U15" t="s">
        <v>126</v>
      </c>
      <c r="V15" s="100">
        <v>8.75</v>
      </c>
      <c r="X15" s="70">
        <v>42378</v>
      </c>
      <c r="Y15" t="s">
        <v>130</v>
      </c>
      <c r="Z15" s="100">
        <v>19.5</v>
      </c>
      <c r="AF15" s="70">
        <v>42387</v>
      </c>
      <c r="AG15" t="s">
        <v>139</v>
      </c>
      <c r="AH15" s="20">
        <v>10</v>
      </c>
    </row>
    <row r="16" spans="2:34" ht="16" thickBot="1" x14ac:dyDescent="0.25">
      <c r="B16" s="40" t="s">
        <v>40</v>
      </c>
      <c r="C16" s="24">
        <f>C15/C8</f>
        <v>0.21503787878787911</v>
      </c>
      <c r="D16" s="44">
        <f>D15/D8</f>
        <v>0.23811255357667799</v>
      </c>
      <c r="F16" s="32"/>
      <c r="G16" s="6"/>
      <c r="H16" s="21"/>
      <c r="I16" s="21" t="s">
        <v>71</v>
      </c>
      <c r="J16" s="33">
        <f>AH8</f>
        <v>92.480000000000018</v>
      </c>
      <c r="T16" s="70">
        <v>42384</v>
      </c>
      <c r="U16" t="s">
        <v>134</v>
      </c>
      <c r="V16" s="100">
        <v>4.8499999999999996</v>
      </c>
      <c r="X16" s="70">
        <v>42392</v>
      </c>
      <c r="Y16" t="s">
        <v>146</v>
      </c>
      <c r="Z16" s="20">
        <v>23.34</v>
      </c>
      <c r="AF16" s="70">
        <v>42386</v>
      </c>
      <c r="AG16" t="s">
        <v>142</v>
      </c>
      <c r="AH16" s="100">
        <v>1.29</v>
      </c>
    </row>
    <row r="17" spans="2:34" ht="16" thickBot="1" x14ac:dyDescent="0.25">
      <c r="B17" s="40"/>
      <c r="C17" s="24"/>
      <c r="D17" s="45">
        <f>SUM(C15:D15)</f>
        <v>1126.4699999999993</v>
      </c>
      <c r="F17" s="65" t="s">
        <v>63</v>
      </c>
      <c r="G17" s="6"/>
      <c r="H17" s="21"/>
      <c r="I17" s="77" t="s">
        <v>94</v>
      </c>
      <c r="J17" s="33">
        <f>0.04+0.76+2.3+1.35</f>
        <v>4.4499999999999993</v>
      </c>
      <c r="T17" s="70">
        <v>42384</v>
      </c>
      <c r="U17" t="s">
        <v>135</v>
      </c>
      <c r="V17" s="20">
        <f>41.83-22</f>
        <v>19.829999999999998</v>
      </c>
      <c r="X17" s="70">
        <v>42392</v>
      </c>
      <c r="Y17" t="s">
        <v>155</v>
      </c>
      <c r="Z17" s="20">
        <v>22.49</v>
      </c>
      <c r="AF17" s="70">
        <v>42391</v>
      </c>
      <c r="AG17" t="s">
        <v>145</v>
      </c>
      <c r="AH17" s="20">
        <v>4.0999999999999996</v>
      </c>
    </row>
    <row r="18" spans="2:34" x14ac:dyDescent="0.2">
      <c r="B18" s="46"/>
      <c r="C18" s="47"/>
      <c r="D18" s="48">
        <f>D17/D9</f>
        <v>0.22706144629798339</v>
      </c>
      <c r="F18" s="32" t="s">
        <v>101</v>
      </c>
      <c r="G18" s="103">
        <v>0</v>
      </c>
      <c r="H18" s="21"/>
      <c r="I18" s="77" t="s">
        <v>102</v>
      </c>
      <c r="J18" s="116">
        <f>SUM(J33:J34)</f>
        <v>516.91999999999996</v>
      </c>
      <c r="T18" s="70">
        <v>42386</v>
      </c>
      <c r="U18" t="s">
        <v>116</v>
      </c>
      <c r="V18" s="20">
        <v>5.68</v>
      </c>
      <c r="X18" s="70">
        <v>42400</v>
      </c>
      <c r="Y18" t="s">
        <v>153</v>
      </c>
      <c r="Z18" s="100">
        <v>34</v>
      </c>
      <c r="AF18" s="70">
        <v>42393</v>
      </c>
      <c r="AG18" t="s">
        <v>113</v>
      </c>
      <c r="AH18" s="20">
        <v>12.04</v>
      </c>
    </row>
    <row r="19" spans="2:34" x14ac:dyDescent="0.2">
      <c r="F19" s="32" t="s">
        <v>57</v>
      </c>
      <c r="G19" s="103">
        <v>300</v>
      </c>
      <c r="H19" s="21"/>
      <c r="I19" s="55" t="s">
        <v>72</v>
      </c>
      <c r="J19" s="64">
        <f>SUM(J11:J18)</f>
        <v>1317.4099999999999</v>
      </c>
      <c r="T19" s="70">
        <v>42386</v>
      </c>
      <c r="U19" t="s">
        <v>136</v>
      </c>
      <c r="V19" s="100">
        <v>7.44</v>
      </c>
      <c r="AF19" s="70">
        <v>42394</v>
      </c>
      <c r="AG19" t="s">
        <v>147</v>
      </c>
      <c r="AH19" s="20">
        <v>4.87</v>
      </c>
    </row>
    <row r="20" spans="2:34" ht="16" thickBot="1" x14ac:dyDescent="0.25">
      <c r="B20" s="29" t="s">
        <v>42</v>
      </c>
      <c r="C20" s="38"/>
      <c r="D20" s="39"/>
      <c r="F20" s="32" t="s">
        <v>58</v>
      </c>
      <c r="G20" s="103">
        <v>55</v>
      </c>
      <c r="H20" s="21"/>
      <c r="I20" s="21"/>
      <c r="J20" s="33"/>
      <c r="T20" s="70">
        <v>42386</v>
      </c>
      <c r="U20" t="s">
        <v>120</v>
      </c>
      <c r="V20" s="100">
        <v>7.85</v>
      </c>
    </row>
    <row r="21" spans="2:34" ht="16" thickBot="1" x14ac:dyDescent="0.25">
      <c r="B21" s="40" t="s">
        <v>43</v>
      </c>
      <c r="C21" s="33">
        <f>0.06*C6</f>
        <v>142.56</v>
      </c>
      <c r="D21" s="33">
        <f>0.06*D8</f>
        <v>155.10479999999998</v>
      </c>
      <c r="F21" s="32" t="s">
        <v>91</v>
      </c>
      <c r="G21" s="6">
        <v>80</v>
      </c>
      <c r="H21" s="21"/>
      <c r="I21" s="56" t="s">
        <v>73</v>
      </c>
      <c r="J21" s="106">
        <f>SUM(G26,J19)</f>
        <v>2572.2719999999999</v>
      </c>
      <c r="T21" s="70">
        <v>42387</v>
      </c>
      <c r="U21" t="s">
        <v>141</v>
      </c>
      <c r="V21" s="100">
        <v>7.16</v>
      </c>
    </row>
    <row r="22" spans="2:34" x14ac:dyDescent="0.2">
      <c r="B22" s="40" t="s">
        <v>44</v>
      </c>
      <c r="C22" s="33">
        <f>0.04*C6</f>
        <v>95.04</v>
      </c>
      <c r="D22" s="33">
        <f>0.04*D8</f>
        <v>103.4032</v>
      </c>
      <c r="F22" s="32" t="s">
        <v>59</v>
      </c>
      <c r="G22" s="6">
        <v>0</v>
      </c>
      <c r="H22" s="21"/>
      <c r="I22" s="21"/>
      <c r="J22" s="60"/>
      <c r="T22" s="70">
        <v>42390</v>
      </c>
      <c r="U22" t="s">
        <v>143</v>
      </c>
      <c r="V22" s="100">
        <v>14.72</v>
      </c>
    </row>
    <row r="23" spans="2:34" x14ac:dyDescent="0.2">
      <c r="B23" s="42" t="s">
        <v>45</v>
      </c>
      <c r="C23" s="23">
        <f>SUM(C21:C22)</f>
        <v>237.60000000000002</v>
      </c>
      <c r="D23" s="49">
        <f>SUM(D21:D22)</f>
        <v>258.50799999999998</v>
      </c>
      <c r="F23" s="32" t="s">
        <v>60</v>
      </c>
      <c r="G23" s="6">
        <v>10.81</v>
      </c>
      <c r="H23" s="21"/>
      <c r="I23" s="21"/>
      <c r="J23" s="60"/>
      <c r="T23" s="70">
        <v>42394</v>
      </c>
      <c r="U23" t="s">
        <v>120</v>
      </c>
      <c r="V23" s="20">
        <v>8.23</v>
      </c>
    </row>
    <row r="24" spans="2:34" ht="16" thickBot="1" x14ac:dyDescent="0.25">
      <c r="B24" s="32"/>
      <c r="C24" s="50">
        <f>C23/C6</f>
        <v>0.1</v>
      </c>
      <c r="D24" s="51">
        <f>D23/D6</f>
        <v>0.10421440492795923</v>
      </c>
      <c r="F24" s="36" t="s">
        <v>95</v>
      </c>
      <c r="G24" s="103">
        <v>8.65</v>
      </c>
      <c r="H24" s="21"/>
      <c r="I24" s="21"/>
      <c r="J24" s="60"/>
      <c r="T24" s="70">
        <v>42395</v>
      </c>
      <c r="U24" t="s">
        <v>148</v>
      </c>
      <c r="V24" s="100">
        <v>7.57</v>
      </c>
    </row>
    <row r="25" spans="2:34" ht="16" thickBot="1" x14ac:dyDescent="0.25">
      <c r="B25" s="32"/>
      <c r="C25" s="21"/>
      <c r="D25" s="52">
        <f>SUM(C23:D23)</f>
        <v>496.108</v>
      </c>
      <c r="F25" s="66" t="s">
        <v>65</v>
      </c>
      <c r="G25" s="54">
        <f>SUM(G18:G24)</f>
        <v>454.46</v>
      </c>
      <c r="H25" s="21"/>
      <c r="I25" s="21"/>
      <c r="J25" s="60"/>
      <c r="T25" s="70">
        <v>42397</v>
      </c>
      <c r="U25" t="s">
        <v>151</v>
      </c>
      <c r="V25" s="20">
        <v>8.65</v>
      </c>
    </row>
    <row r="26" spans="2:34" x14ac:dyDescent="0.2">
      <c r="B26" s="36"/>
      <c r="C26" s="19"/>
      <c r="D26" s="53">
        <f>D25/SUM(C6:D6)</f>
        <v>0.10215256128848933</v>
      </c>
      <c r="F26" s="107" t="s">
        <v>64</v>
      </c>
      <c r="G26" s="108">
        <f>SUM(G8,G15,G25)</f>
        <v>1254.8620000000001</v>
      </c>
      <c r="H26" s="19"/>
      <c r="I26" s="19"/>
      <c r="J26" s="67"/>
      <c r="T26" s="70">
        <v>42399</v>
      </c>
      <c r="U26" t="s">
        <v>152</v>
      </c>
      <c r="V26" s="20">
        <v>6.95</v>
      </c>
    </row>
    <row r="27" spans="2:34" ht="16" thickBot="1" x14ac:dyDescent="0.25">
      <c r="T27" s="70">
        <v>42399</v>
      </c>
      <c r="U27" t="s">
        <v>143</v>
      </c>
      <c r="V27" s="100">
        <v>18.95</v>
      </c>
    </row>
    <row r="28" spans="2:34" ht="16" thickBot="1" x14ac:dyDescent="0.25">
      <c r="B28" s="25" t="s">
        <v>46</v>
      </c>
      <c r="C28" s="26">
        <f>C8-C15-C23</f>
        <v>1627.4699999999993</v>
      </c>
      <c r="D28" s="27">
        <f>D8-D15-D23</f>
        <v>1711.0320000000013</v>
      </c>
      <c r="I28" s="25" t="s">
        <v>74</v>
      </c>
      <c r="J28" s="68">
        <f>G5-J21</f>
        <v>11432.028000000002</v>
      </c>
      <c r="T28" s="70">
        <v>42400</v>
      </c>
      <c r="U28" t="s">
        <v>154</v>
      </c>
      <c r="V28" s="100">
        <v>8.2799999999999994</v>
      </c>
    </row>
    <row r="29" spans="2:34" ht="16" thickBot="1" x14ac:dyDescent="0.25">
      <c r="D29" s="28">
        <v>3338.51</v>
      </c>
    </row>
    <row r="30" spans="2:34" x14ac:dyDescent="0.2">
      <c r="I30" t="s">
        <v>100</v>
      </c>
      <c r="J30" s="20">
        <f>J28-G2</f>
        <v>766.23800000000119</v>
      </c>
    </row>
    <row r="32" spans="2:34" x14ac:dyDescent="0.2">
      <c r="C32" s="20"/>
      <c r="I32" t="s">
        <v>102</v>
      </c>
      <c r="J32" s="20"/>
    </row>
    <row r="33" spans="3:10" x14ac:dyDescent="0.2">
      <c r="C33" s="20"/>
      <c r="I33" t="s">
        <v>250</v>
      </c>
      <c r="J33" s="20">
        <v>16.920000000000002</v>
      </c>
    </row>
    <row r="34" spans="3:10" x14ac:dyDescent="0.2">
      <c r="C34" s="20"/>
      <c r="I34" t="s">
        <v>251</v>
      </c>
      <c r="J34" s="20">
        <v>500</v>
      </c>
    </row>
    <row r="35" spans="3:10" x14ac:dyDescent="0.2">
      <c r="C35" s="20"/>
      <c r="J35" s="20"/>
    </row>
    <row r="36" spans="3:10" x14ac:dyDescent="0.2">
      <c r="C36" s="20"/>
      <c r="J36" s="20"/>
    </row>
  </sheetData>
  <mergeCells count="19">
    <mergeCell ref="AF4:AG4"/>
    <mergeCell ref="L4:M4"/>
    <mergeCell ref="P4:Q4"/>
    <mergeCell ref="T4:U4"/>
    <mergeCell ref="X4:Y4"/>
    <mergeCell ref="AB4:AC4"/>
    <mergeCell ref="AF7:AG7"/>
    <mergeCell ref="L8:M8"/>
    <mergeCell ref="P8:Q8"/>
    <mergeCell ref="T8:U8"/>
    <mergeCell ref="X8:Y8"/>
    <mergeCell ref="AB8:AC8"/>
    <mergeCell ref="AF8:AG8"/>
    <mergeCell ref="AB7:AC7"/>
    <mergeCell ref="L6:M6"/>
    <mergeCell ref="L7:M7"/>
    <mergeCell ref="P7:Q7"/>
    <mergeCell ref="T7:U7"/>
    <mergeCell ref="X7:Y7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H36"/>
  <sheetViews>
    <sheetView zoomScale="90" zoomScaleNormal="90" zoomScalePageLayoutView="90" workbookViewId="0">
      <selection activeCell="L30" sqref="L30"/>
    </sheetView>
  </sheetViews>
  <sheetFormatPr baseColWidth="10" defaultColWidth="8.83203125" defaultRowHeight="15" x14ac:dyDescent="0.2"/>
  <cols>
    <col min="1" max="1" width="1.83203125" customWidth="1"/>
    <col min="2" max="2" width="24.5" bestFit="1" customWidth="1"/>
    <col min="3" max="4" width="14.6640625" customWidth="1"/>
    <col min="5" max="5" width="3.6640625" customWidth="1"/>
    <col min="6" max="6" width="25.83203125" bestFit="1" customWidth="1"/>
    <col min="7" max="7" width="14.6640625" style="3" customWidth="1"/>
    <col min="8" max="8" width="3.5" customWidth="1"/>
    <col min="9" max="9" width="25.5" bestFit="1" customWidth="1"/>
    <col min="10" max="10" width="12.1640625" bestFit="1" customWidth="1"/>
    <col min="11" max="11" width="3.6640625" customWidth="1"/>
    <col min="12" max="12" width="11.5" style="70" customWidth="1"/>
    <col min="13" max="13" width="12" bestFit="1" customWidth="1"/>
    <col min="14" max="14" width="8.83203125" style="20"/>
    <col min="15" max="15" width="2.6640625" customWidth="1"/>
    <col min="16" max="16" width="11.5" style="70" customWidth="1"/>
    <col min="17" max="17" width="11.33203125" bestFit="1" customWidth="1"/>
    <col min="18" max="18" width="8.83203125" style="20"/>
    <col min="19" max="19" width="2.6640625" customWidth="1"/>
    <col min="20" max="20" width="11.5" style="70" customWidth="1"/>
    <col min="21" max="21" width="20.1640625" bestFit="1" customWidth="1"/>
    <col min="22" max="22" width="10.1640625" style="20" bestFit="1" customWidth="1"/>
    <col min="23" max="23" width="2.6640625" customWidth="1"/>
    <col min="24" max="24" width="11.5" style="70" customWidth="1"/>
    <col min="25" max="25" width="16.33203125" bestFit="1" customWidth="1"/>
    <col min="26" max="26" width="8.83203125" style="20"/>
    <col min="27" max="27" width="2.6640625" customWidth="1"/>
    <col min="28" max="28" width="11.5" style="70" customWidth="1"/>
    <col min="29" max="29" width="26" bestFit="1" customWidth="1"/>
    <col min="30" max="30" width="8.83203125" style="20"/>
    <col min="31" max="31" width="2.6640625" customWidth="1"/>
    <col min="32" max="32" width="11.5" style="70" customWidth="1"/>
    <col min="33" max="33" width="25" bestFit="1" customWidth="1"/>
    <col min="34" max="34" width="10.1640625" style="20" bestFit="1" customWidth="1"/>
  </cols>
  <sheetData>
    <row r="1" spans="2:34" ht="10.5" customHeight="1" thickBot="1" x14ac:dyDescent="0.25"/>
    <row r="2" spans="2:34" ht="16" thickBot="1" x14ac:dyDescent="0.25">
      <c r="B2" s="16" t="s">
        <v>75</v>
      </c>
      <c r="F2" t="s">
        <v>47</v>
      </c>
      <c r="G2" s="3">
        <f>Jan!J28</f>
        <v>11432.028000000002</v>
      </c>
      <c r="I2" s="20"/>
    </row>
    <row r="3" spans="2:34" x14ac:dyDescent="0.2">
      <c r="B3" s="21" t="s">
        <v>38</v>
      </c>
      <c r="C3" s="20">
        <f>C6*24</f>
        <v>59532.959999999999</v>
      </c>
      <c r="F3" s="105" t="s">
        <v>46</v>
      </c>
      <c r="G3" s="15">
        <f>D29</f>
        <v>7871.152</v>
      </c>
    </row>
    <row r="4" spans="2:34" x14ac:dyDescent="0.2">
      <c r="F4" t="s">
        <v>48</v>
      </c>
      <c r="G4" s="3">
        <v>0</v>
      </c>
      <c r="I4" t="s">
        <v>112</v>
      </c>
      <c r="J4" s="20">
        <f>SUM(N4,R4,V4,Z4,AD4,AH4)</f>
        <v>15.499999999999986</v>
      </c>
      <c r="L4" s="134" t="s">
        <v>105</v>
      </c>
      <c r="M4" s="134"/>
      <c r="N4" s="20">
        <f>150-N8</f>
        <v>72.78</v>
      </c>
      <c r="P4" s="134" t="s">
        <v>106</v>
      </c>
      <c r="Q4" s="134"/>
      <c r="R4" s="20">
        <f>100-R8</f>
        <v>-50.670000000000016</v>
      </c>
      <c r="T4" s="134" t="s">
        <v>107</v>
      </c>
      <c r="U4" s="134"/>
      <c r="V4" s="20">
        <f>200-V8</f>
        <v>18.949999999999989</v>
      </c>
      <c r="X4" s="134" t="s">
        <v>108</v>
      </c>
      <c r="Y4" s="134"/>
      <c r="Z4" s="20">
        <f>150-Z8</f>
        <v>88.64</v>
      </c>
      <c r="AB4" s="134" t="s">
        <v>109</v>
      </c>
      <c r="AC4" s="134"/>
      <c r="AD4" s="20">
        <f>100-AD8</f>
        <v>-8.5899999999999892</v>
      </c>
      <c r="AF4" s="134" t="s">
        <v>110</v>
      </c>
      <c r="AG4" s="134"/>
      <c r="AH4" s="20">
        <f>300-AH8</f>
        <v>-105.61000000000001</v>
      </c>
    </row>
    <row r="5" spans="2:34" ht="16" thickBot="1" x14ac:dyDescent="0.25">
      <c r="B5" s="29" t="s">
        <v>15</v>
      </c>
      <c r="C5" s="30" t="s">
        <v>31</v>
      </c>
      <c r="D5" s="31" t="s">
        <v>32</v>
      </c>
      <c r="F5" s="105" t="s">
        <v>49</v>
      </c>
      <c r="G5" s="15">
        <f>SUM(G2:G4)</f>
        <v>19303.18</v>
      </c>
    </row>
    <row r="6" spans="2:34" ht="16" thickBot="1" x14ac:dyDescent="0.25">
      <c r="B6" s="32" t="s">
        <v>33</v>
      </c>
      <c r="C6" s="103">
        <v>2480.54</v>
      </c>
      <c r="D6" s="33">
        <v>2480.54</v>
      </c>
      <c r="L6" s="130" t="s">
        <v>77</v>
      </c>
      <c r="M6" s="130"/>
      <c r="N6" s="72"/>
      <c r="O6" s="17"/>
      <c r="P6" s="73"/>
      <c r="Q6" s="17"/>
      <c r="R6" s="72"/>
      <c r="S6" s="17"/>
      <c r="T6" s="73"/>
      <c r="U6" s="17"/>
      <c r="V6" s="72"/>
      <c r="W6" s="17"/>
      <c r="X6" s="73"/>
      <c r="Y6" s="17"/>
      <c r="Z6" s="72"/>
      <c r="AA6" s="17"/>
      <c r="AB6" s="73"/>
      <c r="AC6" s="17"/>
      <c r="AD6" s="72"/>
      <c r="AE6" s="17"/>
      <c r="AF6" s="73"/>
      <c r="AG6" s="17"/>
      <c r="AH6" s="72"/>
    </row>
    <row r="7" spans="2:34" ht="16" thickBot="1" x14ac:dyDescent="0.25">
      <c r="B7" s="32" t="s">
        <v>34</v>
      </c>
      <c r="C7" s="6">
        <v>0</v>
      </c>
      <c r="D7" s="33">
        <v>6671.81</v>
      </c>
      <c r="F7" s="57" t="s">
        <v>50</v>
      </c>
      <c r="G7" s="58"/>
      <c r="H7" s="38"/>
      <c r="I7" s="38"/>
      <c r="J7" s="39"/>
      <c r="L7" s="131" t="s">
        <v>62</v>
      </c>
      <c r="M7" s="131"/>
      <c r="P7" s="132" t="s">
        <v>61</v>
      </c>
      <c r="Q7" s="132"/>
      <c r="T7" s="132" t="s">
        <v>68</v>
      </c>
      <c r="U7" s="132"/>
      <c r="X7" s="132" t="s">
        <v>69</v>
      </c>
      <c r="Y7" s="132"/>
      <c r="AB7" s="132" t="s">
        <v>81</v>
      </c>
      <c r="AC7" s="132"/>
      <c r="AF7" s="132" t="s">
        <v>111</v>
      </c>
      <c r="AG7" s="132"/>
    </row>
    <row r="8" spans="2:34" ht="16" thickBot="1" x14ac:dyDescent="0.25">
      <c r="B8" s="34" t="s">
        <v>66</v>
      </c>
      <c r="C8" s="18">
        <f>C6+C7</f>
        <v>2480.54</v>
      </c>
      <c r="D8" s="35">
        <f>D6+D7</f>
        <v>9152.35</v>
      </c>
      <c r="F8" s="59" t="s">
        <v>90</v>
      </c>
      <c r="G8" s="104">
        <v>700</v>
      </c>
      <c r="H8" s="21"/>
      <c r="I8" s="21"/>
      <c r="J8" s="60"/>
      <c r="L8" s="133" t="s">
        <v>82</v>
      </c>
      <c r="M8" s="133"/>
      <c r="N8" s="71">
        <f>SUM(N10:N50)</f>
        <v>77.22</v>
      </c>
      <c r="P8" s="133" t="s">
        <v>82</v>
      </c>
      <c r="Q8" s="133"/>
      <c r="R8" s="71">
        <f>SUM(R10:R50)</f>
        <v>150.67000000000002</v>
      </c>
      <c r="T8" s="133" t="s">
        <v>82</v>
      </c>
      <c r="U8" s="133"/>
      <c r="V8" s="71">
        <f>SUM(V10:V50)</f>
        <v>181.05</v>
      </c>
      <c r="X8" s="133" t="s">
        <v>82</v>
      </c>
      <c r="Y8" s="133"/>
      <c r="Z8" s="71">
        <f>SUM(Z10:Z50)</f>
        <v>61.36</v>
      </c>
      <c r="AB8" s="133" t="s">
        <v>82</v>
      </c>
      <c r="AC8" s="133"/>
      <c r="AD8" s="71">
        <f>SUM(AD10:AD50)</f>
        <v>108.58999999999999</v>
      </c>
      <c r="AF8" s="133" t="s">
        <v>82</v>
      </c>
      <c r="AG8" s="133"/>
      <c r="AH8" s="71">
        <f>SUM(AH10:AH50)</f>
        <v>405.61</v>
      </c>
    </row>
    <row r="9" spans="2:34" x14ac:dyDescent="0.2">
      <c r="B9" s="36"/>
      <c r="C9" s="19"/>
      <c r="D9" s="37">
        <f>SUM(C8:D8)</f>
        <v>11632.89</v>
      </c>
      <c r="F9" s="32"/>
      <c r="G9" s="6"/>
      <c r="H9" s="21"/>
      <c r="I9" s="21"/>
      <c r="J9" s="60"/>
      <c r="L9" s="74" t="s">
        <v>78</v>
      </c>
      <c r="M9" s="19" t="s">
        <v>79</v>
      </c>
      <c r="N9" s="75" t="s">
        <v>80</v>
      </c>
      <c r="P9" s="74" t="s">
        <v>78</v>
      </c>
      <c r="Q9" s="19" t="s">
        <v>79</v>
      </c>
      <c r="R9" s="75" t="s">
        <v>80</v>
      </c>
      <c r="T9" s="74" t="s">
        <v>78</v>
      </c>
      <c r="U9" s="19" t="s">
        <v>79</v>
      </c>
      <c r="V9" s="75" t="s">
        <v>80</v>
      </c>
      <c r="X9" s="74" t="s">
        <v>78</v>
      </c>
      <c r="Y9" s="19" t="s">
        <v>79</v>
      </c>
      <c r="Z9" s="75" t="s">
        <v>80</v>
      </c>
      <c r="AB9" s="74" t="s">
        <v>78</v>
      </c>
      <c r="AC9" s="19" t="s">
        <v>79</v>
      </c>
      <c r="AD9" s="75" t="s">
        <v>80</v>
      </c>
      <c r="AF9" s="74" t="s">
        <v>78</v>
      </c>
      <c r="AG9" s="19" t="s">
        <v>79</v>
      </c>
      <c r="AH9" s="75" t="s">
        <v>80</v>
      </c>
    </row>
    <row r="10" spans="2:34" ht="16" thickBot="1" x14ac:dyDescent="0.25">
      <c r="F10" s="61" t="s">
        <v>51</v>
      </c>
      <c r="G10" s="6"/>
      <c r="H10" s="21"/>
      <c r="I10" s="17" t="s">
        <v>67</v>
      </c>
      <c r="J10" s="60"/>
      <c r="L10" s="70">
        <v>42404</v>
      </c>
      <c r="M10" t="s">
        <v>140</v>
      </c>
      <c r="N10" s="100">
        <v>23.28</v>
      </c>
      <c r="P10" s="70">
        <v>42402</v>
      </c>
      <c r="Q10" t="s">
        <v>157</v>
      </c>
      <c r="R10" s="100">
        <v>9.6300000000000008</v>
      </c>
      <c r="T10" s="70">
        <v>42403</v>
      </c>
      <c r="U10" t="s">
        <v>156</v>
      </c>
      <c r="V10" s="100">
        <v>5.73</v>
      </c>
      <c r="X10" s="70">
        <v>42413</v>
      </c>
      <c r="Y10" t="s">
        <v>172</v>
      </c>
      <c r="Z10" s="100">
        <v>10</v>
      </c>
      <c r="AB10" s="70">
        <v>42406</v>
      </c>
      <c r="AC10" t="s">
        <v>160</v>
      </c>
      <c r="AD10" s="100">
        <v>1.1499999999999999</v>
      </c>
      <c r="AF10" s="70">
        <v>42408</v>
      </c>
      <c r="AG10" t="s">
        <v>162</v>
      </c>
      <c r="AH10" s="100">
        <v>80.38</v>
      </c>
    </row>
    <row r="11" spans="2:34" ht="16" thickBot="1" x14ac:dyDescent="0.25">
      <c r="B11" s="29" t="s">
        <v>41</v>
      </c>
      <c r="C11" s="38"/>
      <c r="D11" s="39"/>
      <c r="F11" s="62" t="s">
        <v>52</v>
      </c>
      <c r="G11" s="6">
        <f>73.64/5</f>
        <v>14.728</v>
      </c>
      <c r="H11" s="21"/>
      <c r="I11" s="21" t="s">
        <v>62</v>
      </c>
      <c r="J11" s="33">
        <f>N8</f>
        <v>77.22</v>
      </c>
      <c r="L11" s="70">
        <v>42415</v>
      </c>
      <c r="M11" t="s">
        <v>140</v>
      </c>
      <c r="N11" s="100">
        <v>26.65</v>
      </c>
      <c r="P11" s="70">
        <v>42404</v>
      </c>
      <c r="Q11" t="s">
        <v>140</v>
      </c>
      <c r="R11" s="100">
        <v>8.57</v>
      </c>
      <c r="T11" s="70">
        <v>42403</v>
      </c>
      <c r="U11" t="s">
        <v>158</v>
      </c>
      <c r="V11" s="100">
        <v>7.47</v>
      </c>
      <c r="X11" s="70">
        <v>42413</v>
      </c>
      <c r="Y11" t="s">
        <v>155</v>
      </c>
      <c r="Z11" s="100">
        <v>10</v>
      </c>
      <c r="AB11" s="70">
        <v>42408</v>
      </c>
      <c r="AC11" t="s">
        <v>165</v>
      </c>
      <c r="AD11" s="20">
        <v>8</v>
      </c>
      <c r="AF11" s="70">
        <v>42410</v>
      </c>
      <c r="AG11" t="s">
        <v>166</v>
      </c>
      <c r="AH11" s="100">
        <f>73.13+10.46</f>
        <v>83.59</v>
      </c>
    </row>
    <row r="12" spans="2:34" x14ac:dyDescent="0.2">
      <c r="B12" s="40" t="s">
        <v>37</v>
      </c>
      <c r="C12" s="41">
        <f>0.142743112386819*C8</f>
        <v>354.08</v>
      </c>
      <c r="D12" s="41">
        <v>2021.46</v>
      </c>
      <c r="F12" s="62" t="s">
        <v>53</v>
      </c>
      <c r="G12" s="6">
        <f>(48.32+49.92)/5</f>
        <v>19.648000000000003</v>
      </c>
      <c r="H12" s="21"/>
      <c r="I12" s="21" t="s">
        <v>61</v>
      </c>
      <c r="J12" s="33">
        <f>R8</f>
        <v>150.67000000000002</v>
      </c>
      <c r="L12" s="70">
        <v>42424</v>
      </c>
      <c r="M12" t="s">
        <v>183</v>
      </c>
      <c r="N12" s="100">
        <v>27.29</v>
      </c>
      <c r="P12" s="70">
        <v>42405</v>
      </c>
      <c r="Q12" t="s">
        <v>140</v>
      </c>
      <c r="R12" s="20">
        <v>6.99</v>
      </c>
      <c r="T12" s="70">
        <v>42406</v>
      </c>
      <c r="U12" t="s">
        <v>120</v>
      </c>
      <c r="V12" s="20">
        <v>8.7100000000000009</v>
      </c>
      <c r="X12" s="70">
        <v>42414</v>
      </c>
      <c r="Y12" t="s">
        <v>173</v>
      </c>
      <c r="Z12" s="100">
        <v>13</v>
      </c>
      <c r="AB12" s="70">
        <v>42410</v>
      </c>
      <c r="AC12" t="s">
        <v>167</v>
      </c>
      <c r="AD12" s="100">
        <v>21.73</v>
      </c>
      <c r="AF12" s="70">
        <v>42415</v>
      </c>
      <c r="AG12" t="s">
        <v>176</v>
      </c>
      <c r="AH12" s="100">
        <v>7.03</v>
      </c>
    </row>
    <row r="13" spans="2:34" x14ac:dyDescent="0.2">
      <c r="B13" s="40" t="s">
        <v>35</v>
      </c>
      <c r="C13" s="41">
        <f>0.0620550364033638*C8</f>
        <v>153.93000000000004</v>
      </c>
      <c r="D13" s="41">
        <v>567.45000000000005</v>
      </c>
      <c r="F13" s="62" t="s">
        <v>54</v>
      </c>
      <c r="G13" s="6">
        <f>(7.65+36.33+10.35+8.79+65.62)/5</f>
        <v>25.748000000000001</v>
      </c>
      <c r="H13" s="21"/>
      <c r="I13" s="21" t="s">
        <v>68</v>
      </c>
      <c r="J13" s="33">
        <f>V8</f>
        <v>181.05</v>
      </c>
      <c r="P13" s="70">
        <v>42407</v>
      </c>
      <c r="Q13" t="s">
        <v>119</v>
      </c>
      <c r="R13" s="100">
        <v>4.8600000000000003</v>
      </c>
      <c r="T13" s="70">
        <v>42406</v>
      </c>
      <c r="U13" t="s">
        <v>164</v>
      </c>
      <c r="V13" s="20">
        <v>5</v>
      </c>
      <c r="X13" s="70">
        <v>42419</v>
      </c>
      <c r="Y13" t="s">
        <v>180</v>
      </c>
      <c r="Z13" s="100">
        <v>4.25</v>
      </c>
      <c r="AB13" s="70">
        <v>42410</v>
      </c>
      <c r="AC13" t="s">
        <v>169</v>
      </c>
      <c r="AD13" s="123">
        <v>5.5</v>
      </c>
      <c r="AF13" s="70">
        <v>42416</v>
      </c>
      <c r="AG13" t="s">
        <v>177</v>
      </c>
      <c r="AH13" s="100">
        <v>46.5</v>
      </c>
    </row>
    <row r="14" spans="2:34" x14ac:dyDescent="0.2">
      <c r="B14" s="40" t="s">
        <v>36</v>
      </c>
      <c r="C14" s="41">
        <f>0.0145129689503092*C8</f>
        <v>35.999999999999986</v>
      </c>
      <c r="D14" s="41">
        <v>132.71</v>
      </c>
      <c r="F14" s="62" t="s">
        <v>55</v>
      </c>
      <c r="G14" s="103">
        <v>30</v>
      </c>
      <c r="H14" s="21"/>
      <c r="I14" s="21" t="s">
        <v>69</v>
      </c>
      <c r="J14" s="33">
        <f>Z8</f>
        <v>61.36</v>
      </c>
      <c r="P14" s="70">
        <v>42411</v>
      </c>
      <c r="Q14" t="s">
        <v>140</v>
      </c>
      <c r="R14" s="20">
        <v>4.49</v>
      </c>
      <c r="T14" s="70">
        <v>42407</v>
      </c>
      <c r="U14" t="s">
        <v>161</v>
      </c>
      <c r="V14" s="100">
        <v>8.43</v>
      </c>
      <c r="X14" s="70">
        <v>42419</v>
      </c>
      <c r="Y14" t="s">
        <v>172</v>
      </c>
      <c r="Z14" s="100">
        <f>16.11-8</f>
        <v>8.11</v>
      </c>
      <c r="AB14" s="70">
        <v>42410</v>
      </c>
      <c r="AC14" t="s">
        <v>170</v>
      </c>
      <c r="AD14" s="100">
        <v>11</v>
      </c>
      <c r="AF14" s="70">
        <v>42421</v>
      </c>
      <c r="AG14" t="s">
        <v>181</v>
      </c>
      <c r="AH14" s="100">
        <v>160.11000000000001</v>
      </c>
    </row>
    <row r="15" spans="2:34" x14ac:dyDescent="0.2">
      <c r="B15" s="42" t="s">
        <v>39</v>
      </c>
      <c r="C15" s="22">
        <f>SUM(C12:C14)</f>
        <v>544.01</v>
      </c>
      <c r="D15" s="43">
        <f>SUM(D12:D14)</f>
        <v>2721.62</v>
      </c>
      <c r="F15" s="63" t="s">
        <v>56</v>
      </c>
      <c r="G15" s="104">
        <f>SUM(G11:G14)</f>
        <v>90.124000000000009</v>
      </c>
      <c r="H15" s="21"/>
      <c r="I15" s="21" t="s">
        <v>70</v>
      </c>
      <c r="J15" s="33">
        <f>AD8</f>
        <v>108.58999999999999</v>
      </c>
      <c r="P15" s="70">
        <v>42411</v>
      </c>
      <c r="Q15" t="s">
        <v>119</v>
      </c>
      <c r="R15" s="20">
        <v>47.82</v>
      </c>
      <c r="T15" s="70">
        <v>42409</v>
      </c>
      <c r="U15" t="s">
        <v>163</v>
      </c>
      <c r="V15" s="100">
        <v>8.65</v>
      </c>
      <c r="X15" s="70">
        <v>42427</v>
      </c>
      <c r="Y15" t="s">
        <v>186</v>
      </c>
      <c r="Z15" s="100">
        <v>16</v>
      </c>
      <c r="AB15" s="70">
        <v>42414</v>
      </c>
      <c r="AC15" t="s">
        <v>175</v>
      </c>
      <c r="AD15" s="100">
        <v>44</v>
      </c>
      <c r="AF15" s="70">
        <v>42421</v>
      </c>
      <c r="AG15" t="s">
        <v>182</v>
      </c>
      <c r="AH15" s="100">
        <v>28</v>
      </c>
    </row>
    <row r="16" spans="2:34" ht="16" thickBot="1" x14ac:dyDescent="0.25">
      <c r="B16" s="40" t="s">
        <v>40</v>
      </c>
      <c r="C16" s="24">
        <f>C15/C8</f>
        <v>0.219311117740492</v>
      </c>
      <c r="D16" s="44">
        <f>D15/D8</f>
        <v>0.29736843542915203</v>
      </c>
      <c r="F16" s="32"/>
      <c r="G16" s="6"/>
      <c r="H16" s="21"/>
      <c r="I16" s="21" t="s">
        <v>71</v>
      </c>
      <c r="J16" s="33">
        <f>AH8</f>
        <v>405.61</v>
      </c>
      <c r="P16" s="70">
        <v>42414</v>
      </c>
      <c r="Q16" t="s">
        <v>174</v>
      </c>
      <c r="R16" s="100">
        <f>98.7-44</f>
        <v>54.7</v>
      </c>
      <c r="T16" s="70">
        <v>42410</v>
      </c>
      <c r="U16" t="s">
        <v>156</v>
      </c>
      <c r="V16" s="100">
        <v>5.35</v>
      </c>
      <c r="AB16" s="70">
        <v>42416</v>
      </c>
      <c r="AC16" t="s">
        <v>178</v>
      </c>
      <c r="AD16" s="100">
        <v>6.45</v>
      </c>
    </row>
    <row r="17" spans="2:30" ht="16" thickBot="1" x14ac:dyDescent="0.25">
      <c r="B17" s="40"/>
      <c r="C17" s="24"/>
      <c r="D17" s="45">
        <f>SUM(C15:D15)</f>
        <v>3265.63</v>
      </c>
      <c r="F17" s="65" t="s">
        <v>63</v>
      </c>
      <c r="G17" s="6"/>
      <c r="H17" s="21"/>
      <c r="I17" s="77" t="s">
        <v>94</v>
      </c>
      <c r="J17" s="33">
        <f>0.34+1.53+0.51+1.05</f>
        <v>3.4299999999999997</v>
      </c>
      <c r="P17" s="70">
        <v>42421</v>
      </c>
      <c r="Q17" t="s">
        <v>140</v>
      </c>
      <c r="R17" s="100">
        <v>12.65</v>
      </c>
      <c r="T17" s="70">
        <v>42410</v>
      </c>
      <c r="U17" t="s">
        <v>168</v>
      </c>
      <c r="V17" s="100">
        <v>7.03</v>
      </c>
      <c r="AB17" s="70">
        <v>42427</v>
      </c>
      <c r="AC17" t="s">
        <v>185</v>
      </c>
      <c r="AD17" s="20">
        <v>3.77</v>
      </c>
    </row>
    <row r="18" spans="2:30" x14ac:dyDescent="0.2">
      <c r="B18" s="46"/>
      <c r="C18" s="47"/>
      <c r="D18" s="48">
        <f>D17/D9</f>
        <v>0.28072387858906944</v>
      </c>
      <c r="F18" s="32" t="s">
        <v>101</v>
      </c>
      <c r="G18" s="6">
        <v>497.3</v>
      </c>
      <c r="H18" s="21"/>
      <c r="I18" s="77" t="s">
        <v>102</v>
      </c>
      <c r="J18" s="116">
        <f>SUM(J33:J35)</f>
        <v>373.22</v>
      </c>
      <c r="P18" s="70">
        <v>42424</v>
      </c>
      <c r="Q18" t="s">
        <v>140</v>
      </c>
      <c r="R18" s="20">
        <v>0.96</v>
      </c>
      <c r="T18" s="70">
        <v>42413</v>
      </c>
      <c r="U18" t="s">
        <v>155</v>
      </c>
      <c r="V18" s="100">
        <f>24.11-10</f>
        <v>14.11</v>
      </c>
      <c r="Z18" s="100"/>
      <c r="AB18" s="70">
        <v>42429</v>
      </c>
      <c r="AC18" t="s">
        <v>189</v>
      </c>
      <c r="AD18" s="100">
        <v>6.99</v>
      </c>
    </row>
    <row r="19" spans="2:30" x14ac:dyDescent="0.2">
      <c r="F19" s="32" t="s">
        <v>57</v>
      </c>
      <c r="G19" s="6">
        <v>300</v>
      </c>
      <c r="H19" s="21"/>
      <c r="I19" s="55" t="s">
        <v>72</v>
      </c>
      <c r="J19" s="64">
        <f>SUM(J11:J18)</f>
        <v>1361.15</v>
      </c>
      <c r="T19" s="70">
        <v>42416</v>
      </c>
      <c r="U19" t="s">
        <v>179</v>
      </c>
      <c r="V19" s="20">
        <v>7.85</v>
      </c>
    </row>
    <row r="20" spans="2:30" ht="16" thickBot="1" x14ac:dyDescent="0.25">
      <c r="B20" s="29" t="s">
        <v>42</v>
      </c>
      <c r="C20" s="38"/>
      <c r="D20" s="39"/>
      <c r="F20" s="32" t="s">
        <v>58</v>
      </c>
      <c r="G20" s="6">
        <v>55</v>
      </c>
      <c r="H20" s="21"/>
      <c r="I20" s="21"/>
      <c r="J20" s="33"/>
      <c r="T20" s="70">
        <v>42419</v>
      </c>
      <c r="U20" t="s">
        <v>172</v>
      </c>
      <c r="V20" s="100">
        <v>8</v>
      </c>
    </row>
    <row r="21" spans="2:30" ht="16" thickBot="1" x14ac:dyDescent="0.25">
      <c r="B21" s="40" t="s">
        <v>43</v>
      </c>
      <c r="C21" s="33">
        <f>0.06*C6</f>
        <v>148.83239999999998</v>
      </c>
      <c r="D21" s="33">
        <f>0.06*D6</f>
        <v>148.83239999999998</v>
      </c>
      <c r="F21" s="32" t="s">
        <v>91</v>
      </c>
      <c r="G21" s="6">
        <v>50</v>
      </c>
      <c r="H21" s="21"/>
      <c r="I21" s="56" t="s">
        <v>73</v>
      </c>
      <c r="J21" s="106">
        <f>SUM(G26,J19)</f>
        <v>3073.0340000000001</v>
      </c>
      <c r="T21" s="70">
        <v>42420</v>
      </c>
      <c r="U21" t="s">
        <v>116</v>
      </c>
      <c r="V21" s="100">
        <v>10.39</v>
      </c>
    </row>
    <row r="22" spans="2:30" x14ac:dyDescent="0.2">
      <c r="B22" s="40" t="s">
        <v>44</v>
      </c>
      <c r="C22" s="33">
        <f>0.04*C6</f>
        <v>99.221599999999995</v>
      </c>
      <c r="D22" s="33">
        <f>0.04*D6</f>
        <v>99.221599999999995</v>
      </c>
      <c r="F22" s="32" t="s">
        <v>59</v>
      </c>
      <c r="G22" s="6">
        <v>0</v>
      </c>
      <c r="H22" s="21"/>
      <c r="I22" s="21"/>
      <c r="J22" s="60"/>
      <c r="T22" s="70">
        <v>42420</v>
      </c>
      <c r="U22" t="s">
        <v>141</v>
      </c>
      <c r="V22" s="100">
        <v>12.93</v>
      </c>
    </row>
    <row r="23" spans="2:30" x14ac:dyDescent="0.2">
      <c r="B23" s="42" t="s">
        <v>45</v>
      </c>
      <c r="C23" s="23">
        <f>SUM(C21:C22)</f>
        <v>248.05399999999997</v>
      </c>
      <c r="D23" s="49">
        <f>SUM(D21:D22)</f>
        <v>248.05399999999997</v>
      </c>
      <c r="F23" s="32" t="s">
        <v>60</v>
      </c>
      <c r="G23" s="6">
        <v>10.81</v>
      </c>
      <c r="H23" s="21"/>
      <c r="I23" s="21"/>
      <c r="J23" s="60"/>
      <c r="T23" s="70">
        <v>42422</v>
      </c>
      <c r="U23" t="s">
        <v>120</v>
      </c>
      <c r="V23" s="100">
        <v>7.47</v>
      </c>
    </row>
    <row r="24" spans="2:30" ht="16" thickBot="1" x14ac:dyDescent="0.25">
      <c r="B24" s="32"/>
      <c r="C24" s="50">
        <f>C23/C6</f>
        <v>9.9999999999999992E-2</v>
      </c>
      <c r="D24" s="51">
        <f>D23/D6</f>
        <v>9.9999999999999992E-2</v>
      </c>
      <c r="F24" s="36" t="s">
        <v>95</v>
      </c>
      <c r="G24" s="103">
        <v>8.65</v>
      </c>
      <c r="H24" s="21"/>
      <c r="I24" s="21"/>
      <c r="J24" s="60"/>
      <c r="T24" s="70">
        <v>42427</v>
      </c>
      <c r="U24" t="s">
        <v>184</v>
      </c>
      <c r="V24" s="20">
        <v>27.06</v>
      </c>
    </row>
    <row r="25" spans="2:30" ht="16" thickBot="1" x14ac:dyDescent="0.25">
      <c r="B25" s="32"/>
      <c r="C25" s="21"/>
      <c r="D25" s="52">
        <f>SUM(C23:D23)</f>
        <v>496.10799999999995</v>
      </c>
      <c r="F25" s="66" t="s">
        <v>65</v>
      </c>
      <c r="G25" s="54">
        <f>SUM(G18:G24)</f>
        <v>921.75999999999988</v>
      </c>
      <c r="H25" s="21"/>
      <c r="I25" s="21"/>
      <c r="J25" s="60"/>
      <c r="T25" s="70">
        <v>42428</v>
      </c>
      <c r="U25" t="s">
        <v>187</v>
      </c>
      <c r="V25" s="100">
        <v>29.12</v>
      </c>
    </row>
    <row r="26" spans="2:30" x14ac:dyDescent="0.2">
      <c r="B26" s="36"/>
      <c r="C26" s="19"/>
      <c r="D26" s="53">
        <f>D25/SUM(C6:D6)</f>
        <v>9.9999999999999992E-2</v>
      </c>
      <c r="F26" s="107" t="s">
        <v>64</v>
      </c>
      <c r="G26" s="108">
        <f>SUM(G8,G15,G25)</f>
        <v>1711.884</v>
      </c>
      <c r="H26" s="19"/>
      <c r="I26" s="19"/>
      <c r="J26" s="67"/>
      <c r="T26" s="70">
        <v>42428</v>
      </c>
      <c r="U26" t="s">
        <v>188</v>
      </c>
      <c r="V26" s="100">
        <v>7.75</v>
      </c>
    </row>
    <row r="27" spans="2:30" ht="16" thickBot="1" x14ac:dyDescent="0.25"/>
    <row r="28" spans="2:30" ht="16" thickBot="1" x14ac:dyDescent="0.25">
      <c r="B28" s="25" t="s">
        <v>46</v>
      </c>
      <c r="C28" s="26">
        <f>C8-C15-C23</f>
        <v>1688.4760000000001</v>
      </c>
      <c r="D28" s="27">
        <f>D8-D15-D23</f>
        <v>6182.6760000000004</v>
      </c>
      <c r="I28" s="25" t="s">
        <v>74</v>
      </c>
      <c r="J28" s="68">
        <f>G5-J21</f>
        <v>16230.146000000001</v>
      </c>
    </row>
    <row r="29" spans="2:30" ht="16" thickBot="1" x14ac:dyDescent="0.25">
      <c r="D29" s="28">
        <f>SUM(C28:D28)</f>
        <v>7871.152</v>
      </c>
    </row>
    <row r="30" spans="2:30" x14ac:dyDescent="0.2">
      <c r="I30" t="s">
        <v>100</v>
      </c>
      <c r="J30" s="20">
        <f>J28-G2-4494</f>
        <v>304.11799999999857</v>
      </c>
    </row>
    <row r="31" spans="2:30" x14ac:dyDescent="0.2">
      <c r="F31" t="s">
        <v>159</v>
      </c>
      <c r="G31" s="3">
        <f>75-G15</f>
        <v>-15.124000000000009</v>
      </c>
    </row>
    <row r="32" spans="2:30" x14ac:dyDescent="0.2">
      <c r="I32" t="s">
        <v>102</v>
      </c>
      <c r="J32" s="20"/>
    </row>
    <row r="33" spans="9:10" x14ac:dyDescent="0.2">
      <c r="I33" t="s">
        <v>252</v>
      </c>
      <c r="J33" s="20">
        <v>1184.22</v>
      </c>
    </row>
    <row r="34" spans="9:10" x14ac:dyDescent="0.2">
      <c r="I34" t="s">
        <v>253</v>
      </c>
      <c r="J34" s="124">
        <v>-400</v>
      </c>
    </row>
    <row r="35" spans="9:10" x14ac:dyDescent="0.2">
      <c r="I35" t="s">
        <v>254</v>
      </c>
      <c r="J35" s="20">
        <v>-411</v>
      </c>
    </row>
    <row r="36" spans="9:10" x14ac:dyDescent="0.2">
      <c r="J36" s="20"/>
    </row>
  </sheetData>
  <mergeCells count="19">
    <mergeCell ref="AF4:AG4"/>
    <mergeCell ref="L4:M4"/>
    <mergeCell ref="P4:Q4"/>
    <mergeCell ref="T4:U4"/>
    <mergeCell ref="X4:Y4"/>
    <mergeCell ref="AB4:AC4"/>
    <mergeCell ref="L8:M8"/>
    <mergeCell ref="AF7:AG7"/>
    <mergeCell ref="AF8:AG8"/>
    <mergeCell ref="AB8:AC8"/>
    <mergeCell ref="X8:Y8"/>
    <mergeCell ref="T8:U8"/>
    <mergeCell ref="P8:Q8"/>
    <mergeCell ref="AB7:AC7"/>
    <mergeCell ref="L6:M6"/>
    <mergeCell ref="L7:M7"/>
    <mergeCell ref="P7:Q7"/>
    <mergeCell ref="T7:U7"/>
    <mergeCell ref="X7:Y7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H36"/>
  <sheetViews>
    <sheetView zoomScale="90" zoomScaleNormal="90" zoomScalePageLayoutView="90" workbookViewId="0">
      <selection activeCell="N26" sqref="N26"/>
    </sheetView>
  </sheetViews>
  <sheetFormatPr baseColWidth="10" defaultColWidth="8.83203125" defaultRowHeight="15" x14ac:dyDescent="0.2"/>
  <cols>
    <col min="1" max="1" width="1.83203125" customWidth="1"/>
    <col min="2" max="2" width="24.5" bestFit="1" customWidth="1"/>
    <col min="3" max="4" width="14.6640625" customWidth="1"/>
    <col min="5" max="5" width="3.6640625" customWidth="1"/>
    <col min="6" max="6" width="25.83203125" bestFit="1" customWidth="1"/>
    <col min="7" max="7" width="14.6640625" style="3" customWidth="1"/>
    <col min="8" max="8" width="3.5" customWidth="1"/>
    <col min="9" max="9" width="25.5" bestFit="1" customWidth="1"/>
    <col min="10" max="10" width="12.1640625" bestFit="1" customWidth="1"/>
    <col min="11" max="11" width="3.6640625" customWidth="1"/>
    <col min="12" max="12" width="11.5" style="70" customWidth="1"/>
    <col min="13" max="13" width="18.1640625" bestFit="1" customWidth="1"/>
    <col min="14" max="14" width="8.83203125" style="20"/>
    <col min="15" max="15" width="2.6640625" customWidth="1"/>
    <col min="16" max="16" width="11.5" style="70" customWidth="1"/>
    <col min="17" max="17" width="12" bestFit="1" customWidth="1"/>
    <col min="18" max="18" width="8.83203125" style="20"/>
    <col min="19" max="19" width="2.6640625" customWidth="1"/>
    <col min="20" max="20" width="11.5" style="70" customWidth="1"/>
    <col min="21" max="21" width="17.6640625" bestFit="1" customWidth="1"/>
    <col min="22" max="22" width="10.1640625" style="20" bestFit="1" customWidth="1"/>
    <col min="23" max="23" width="2.6640625" customWidth="1"/>
    <col min="24" max="24" width="11.5" style="70" customWidth="1"/>
    <col min="25" max="25" width="16.33203125" bestFit="1" customWidth="1"/>
    <col min="26" max="26" width="8.83203125" style="20"/>
    <col min="27" max="27" width="2.6640625" customWidth="1"/>
    <col min="28" max="28" width="11.5" style="70" customWidth="1"/>
    <col min="29" max="29" width="19.1640625" bestFit="1" customWidth="1"/>
    <col min="30" max="30" width="8.83203125" style="20"/>
    <col min="31" max="31" width="2.6640625" customWidth="1"/>
    <col min="32" max="32" width="11.5" style="70" customWidth="1"/>
    <col min="33" max="33" width="25" bestFit="1" customWidth="1"/>
    <col min="34" max="34" width="8.83203125" style="20"/>
  </cols>
  <sheetData>
    <row r="1" spans="2:34" ht="10.5" customHeight="1" thickBot="1" x14ac:dyDescent="0.25"/>
    <row r="2" spans="2:34" ht="16" thickBot="1" x14ac:dyDescent="0.25">
      <c r="B2" s="16" t="s">
        <v>83</v>
      </c>
      <c r="F2" t="s">
        <v>47</v>
      </c>
      <c r="G2" s="3">
        <f>Feb!J28</f>
        <v>16230.146000000001</v>
      </c>
      <c r="I2" s="20"/>
    </row>
    <row r="3" spans="2:34" x14ac:dyDescent="0.2">
      <c r="B3" s="21" t="s">
        <v>38</v>
      </c>
      <c r="C3" s="20">
        <f>C6*24</f>
        <v>59532.959999999999</v>
      </c>
      <c r="F3" s="105" t="s">
        <v>46</v>
      </c>
      <c r="G3" s="15">
        <f>D29</f>
        <v>3377.652</v>
      </c>
    </row>
    <row r="4" spans="2:34" x14ac:dyDescent="0.2">
      <c r="F4" t="s">
        <v>48</v>
      </c>
      <c r="G4" s="115">
        <f>1116+5.54</f>
        <v>1121.54</v>
      </c>
      <c r="I4" t="s">
        <v>112</v>
      </c>
      <c r="J4" s="20">
        <f>SUM(N4,R4,V4,Z4,AD4,AH4)</f>
        <v>172.95000000000005</v>
      </c>
      <c r="L4" s="134" t="s">
        <v>105</v>
      </c>
      <c r="M4" s="134"/>
      <c r="N4" s="20">
        <f>150-N8</f>
        <v>-31.170000000000016</v>
      </c>
      <c r="P4" s="134" t="s">
        <v>106</v>
      </c>
      <c r="Q4" s="134"/>
      <c r="R4" s="20">
        <f>100-R8</f>
        <v>67.81</v>
      </c>
      <c r="T4" s="134" t="s">
        <v>107</v>
      </c>
      <c r="U4" s="134"/>
      <c r="V4" s="20">
        <f>200-V8</f>
        <v>-72.629999999999939</v>
      </c>
      <c r="X4" s="134" t="s">
        <v>108</v>
      </c>
      <c r="Y4" s="134"/>
      <c r="Z4" s="20">
        <f>150-Z8</f>
        <v>58.480000000000004</v>
      </c>
      <c r="AB4" s="134" t="s">
        <v>109</v>
      </c>
      <c r="AC4" s="134"/>
      <c r="AD4" s="20">
        <f>100-AD8</f>
        <v>14.189999999999998</v>
      </c>
      <c r="AF4" s="134" t="s">
        <v>110</v>
      </c>
      <c r="AG4" s="134"/>
      <c r="AH4" s="20">
        <f>300-AH8</f>
        <v>136.26999999999998</v>
      </c>
    </row>
    <row r="5" spans="2:34" ht="16" thickBot="1" x14ac:dyDescent="0.25">
      <c r="B5" s="29" t="s">
        <v>15</v>
      </c>
      <c r="C5" s="30" t="s">
        <v>31</v>
      </c>
      <c r="D5" s="31" t="s">
        <v>32</v>
      </c>
      <c r="F5" s="105" t="s">
        <v>49</v>
      </c>
      <c r="G5" s="15">
        <f>SUM(G2:G4)</f>
        <v>20729.338000000003</v>
      </c>
    </row>
    <row r="6" spans="2:34" ht="16" thickBot="1" x14ac:dyDescent="0.25">
      <c r="B6" s="32" t="s">
        <v>33</v>
      </c>
      <c r="C6" s="103">
        <v>2480.54</v>
      </c>
      <c r="D6" s="33">
        <v>2480.54</v>
      </c>
      <c r="L6" s="130" t="s">
        <v>77</v>
      </c>
      <c r="M6" s="130"/>
      <c r="N6" s="72"/>
      <c r="O6" s="17"/>
      <c r="P6" s="73"/>
      <c r="Q6" s="17"/>
      <c r="R6" s="72"/>
      <c r="S6" s="17"/>
      <c r="T6" s="73"/>
      <c r="U6" s="17"/>
      <c r="V6" s="72"/>
      <c r="W6" s="17"/>
      <c r="X6" s="73"/>
      <c r="Y6" s="17"/>
      <c r="Z6" s="72"/>
      <c r="AA6" s="17"/>
      <c r="AB6" s="73"/>
      <c r="AC6" s="17"/>
      <c r="AD6" s="72"/>
      <c r="AE6" s="17"/>
      <c r="AF6" s="73"/>
      <c r="AG6" s="17"/>
      <c r="AH6" s="72"/>
    </row>
    <row r="7" spans="2:34" ht="16" thickBot="1" x14ac:dyDescent="0.25">
      <c r="B7" s="32" t="s">
        <v>34</v>
      </c>
      <c r="C7" s="6">
        <v>0</v>
      </c>
      <c r="D7" s="33">
        <v>0</v>
      </c>
      <c r="F7" s="57" t="s">
        <v>50</v>
      </c>
      <c r="G7" s="58"/>
      <c r="H7" s="38"/>
      <c r="I7" s="38"/>
      <c r="J7" s="39"/>
      <c r="L7" s="131" t="s">
        <v>62</v>
      </c>
      <c r="M7" s="131"/>
      <c r="P7" s="132" t="s">
        <v>61</v>
      </c>
      <c r="Q7" s="132"/>
      <c r="T7" s="132" t="s">
        <v>68</v>
      </c>
      <c r="U7" s="132"/>
      <c r="X7" s="132" t="s">
        <v>69</v>
      </c>
      <c r="Y7" s="132"/>
      <c r="AB7" s="132" t="s">
        <v>81</v>
      </c>
      <c r="AC7" s="132"/>
      <c r="AF7" s="132" t="s">
        <v>111</v>
      </c>
      <c r="AG7" s="132"/>
    </row>
    <row r="8" spans="2:34" ht="16" thickBot="1" x14ac:dyDescent="0.25">
      <c r="B8" s="34" t="s">
        <v>66</v>
      </c>
      <c r="C8" s="18">
        <f>C6+C7</f>
        <v>2480.54</v>
      </c>
      <c r="D8" s="35">
        <f>D6+D7</f>
        <v>2480.54</v>
      </c>
      <c r="F8" s="59" t="s">
        <v>90</v>
      </c>
      <c r="G8" s="104">
        <v>700</v>
      </c>
      <c r="H8" s="21"/>
      <c r="I8" s="21"/>
      <c r="J8" s="60"/>
      <c r="L8" s="133" t="s">
        <v>82</v>
      </c>
      <c r="M8" s="133"/>
      <c r="N8" s="71">
        <f>SUM(N10:N50)</f>
        <v>181.17000000000002</v>
      </c>
      <c r="P8" s="133" t="s">
        <v>82</v>
      </c>
      <c r="Q8" s="133"/>
      <c r="R8" s="71">
        <f>SUM(R10:R50)</f>
        <v>32.190000000000005</v>
      </c>
      <c r="T8" s="133" t="s">
        <v>82</v>
      </c>
      <c r="U8" s="133"/>
      <c r="V8" s="71">
        <f>SUM(V10:V50)</f>
        <v>272.62999999999994</v>
      </c>
      <c r="X8" s="133" t="s">
        <v>82</v>
      </c>
      <c r="Y8" s="133"/>
      <c r="Z8" s="71">
        <f>SUM(Z10:Z50)</f>
        <v>91.52</v>
      </c>
      <c r="AB8" s="133" t="s">
        <v>82</v>
      </c>
      <c r="AC8" s="133"/>
      <c r="AD8" s="71">
        <f>SUM(AD10:AD50)</f>
        <v>85.81</v>
      </c>
      <c r="AF8" s="133" t="s">
        <v>82</v>
      </c>
      <c r="AG8" s="133"/>
      <c r="AH8" s="71">
        <f>SUM(AH10:AH50)</f>
        <v>163.73000000000002</v>
      </c>
    </row>
    <row r="9" spans="2:34" x14ac:dyDescent="0.2">
      <c r="B9" s="36"/>
      <c r="C9" s="19"/>
      <c r="D9" s="37">
        <f>SUM(C8:D8)</f>
        <v>4961.08</v>
      </c>
      <c r="F9" s="32"/>
      <c r="G9" s="6"/>
      <c r="H9" s="21"/>
      <c r="I9" s="21"/>
      <c r="J9" s="60"/>
      <c r="L9" s="74" t="s">
        <v>78</v>
      </c>
      <c r="M9" s="19" t="s">
        <v>79</v>
      </c>
      <c r="N9" s="75" t="s">
        <v>80</v>
      </c>
      <c r="P9" s="74" t="s">
        <v>78</v>
      </c>
      <c r="Q9" s="19" t="s">
        <v>79</v>
      </c>
      <c r="R9" s="75" t="s">
        <v>80</v>
      </c>
      <c r="T9" s="74" t="s">
        <v>78</v>
      </c>
      <c r="U9" s="19" t="s">
        <v>79</v>
      </c>
      <c r="V9" s="75" t="s">
        <v>80</v>
      </c>
      <c r="X9" s="74" t="s">
        <v>78</v>
      </c>
      <c r="Y9" s="19" t="s">
        <v>79</v>
      </c>
      <c r="Z9" s="75" t="s">
        <v>80</v>
      </c>
      <c r="AB9" s="74" t="s">
        <v>78</v>
      </c>
      <c r="AC9" s="19" t="s">
        <v>79</v>
      </c>
      <c r="AD9" s="75" t="s">
        <v>80</v>
      </c>
      <c r="AF9" s="74" t="s">
        <v>78</v>
      </c>
      <c r="AG9" s="19" t="s">
        <v>79</v>
      </c>
      <c r="AH9" s="75" t="s">
        <v>80</v>
      </c>
    </row>
    <row r="10" spans="2:34" ht="16" thickBot="1" x14ac:dyDescent="0.25">
      <c r="F10" s="61" t="s">
        <v>51</v>
      </c>
      <c r="G10" s="6"/>
      <c r="H10" s="21"/>
      <c r="I10" s="17" t="s">
        <v>67</v>
      </c>
      <c r="J10" s="60"/>
      <c r="L10" s="70">
        <v>42435</v>
      </c>
      <c r="M10" t="s">
        <v>195</v>
      </c>
      <c r="N10" s="100">
        <v>65.760000000000005</v>
      </c>
      <c r="P10" s="70">
        <v>42431</v>
      </c>
      <c r="Q10" t="s">
        <v>140</v>
      </c>
      <c r="R10" s="100">
        <v>4.49</v>
      </c>
      <c r="T10" s="70">
        <v>42430</v>
      </c>
      <c r="U10" t="s">
        <v>190</v>
      </c>
      <c r="V10" s="100">
        <v>8.65</v>
      </c>
      <c r="X10" s="70">
        <v>42433</v>
      </c>
      <c r="Y10" t="s">
        <v>191</v>
      </c>
      <c r="Z10" s="100">
        <v>14.07</v>
      </c>
      <c r="AB10" s="70">
        <v>42431</v>
      </c>
      <c r="AC10" t="s">
        <v>192</v>
      </c>
      <c r="AD10" s="100">
        <v>11</v>
      </c>
      <c r="AF10" s="70">
        <v>42434</v>
      </c>
      <c r="AG10" t="s">
        <v>194</v>
      </c>
      <c r="AH10" s="100">
        <v>34.5</v>
      </c>
    </row>
    <row r="11" spans="2:34" ht="16" thickBot="1" x14ac:dyDescent="0.25">
      <c r="B11" s="29" t="s">
        <v>41</v>
      </c>
      <c r="C11" s="38"/>
      <c r="D11" s="39"/>
      <c r="F11" s="62" t="s">
        <v>52</v>
      </c>
      <c r="G11" s="6">
        <f>68.23/5</f>
        <v>13.646000000000001</v>
      </c>
      <c r="H11" s="21"/>
      <c r="I11" s="21" t="s">
        <v>62</v>
      </c>
      <c r="J11" s="33">
        <f>N8</f>
        <v>181.17000000000002</v>
      </c>
      <c r="L11" s="70">
        <v>42438</v>
      </c>
      <c r="M11" t="s">
        <v>219</v>
      </c>
      <c r="N11" s="100">
        <v>34.25</v>
      </c>
      <c r="P11" s="70">
        <v>42446</v>
      </c>
      <c r="Q11" t="s">
        <v>140</v>
      </c>
      <c r="R11" s="100">
        <v>4.49</v>
      </c>
      <c r="T11" s="70">
        <v>42433</v>
      </c>
      <c r="U11" t="s">
        <v>135</v>
      </c>
      <c r="V11" s="100">
        <v>11.45</v>
      </c>
      <c r="X11" s="70">
        <v>42434</v>
      </c>
      <c r="Y11" t="s">
        <v>196</v>
      </c>
      <c r="Z11" s="100">
        <v>11</v>
      </c>
      <c r="AB11" s="70">
        <v>42433</v>
      </c>
      <c r="AC11" t="s">
        <v>169</v>
      </c>
      <c r="AD11" s="20">
        <v>7.75</v>
      </c>
      <c r="AF11" s="70">
        <v>42435</v>
      </c>
      <c r="AG11" t="s">
        <v>201</v>
      </c>
      <c r="AH11" s="100">
        <v>3.5</v>
      </c>
    </row>
    <row r="12" spans="2:34" x14ac:dyDescent="0.2">
      <c r="B12" s="40" t="s">
        <v>37</v>
      </c>
      <c r="C12" s="41">
        <v>354.1</v>
      </c>
      <c r="D12" s="41">
        <v>353.51</v>
      </c>
      <c r="F12" s="62" t="s">
        <v>53</v>
      </c>
      <c r="G12" s="6">
        <f>+(59.62+49.92)/5</f>
        <v>21.907999999999998</v>
      </c>
      <c r="H12" s="21"/>
      <c r="I12" s="21" t="s">
        <v>61</v>
      </c>
      <c r="J12" s="33">
        <f>R8</f>
        <v>32.190000000000005</v>
      </c>
      <c r="L12" s="70">
        <v>42450</v>
      </c>
      <c r="M12" t="s">
        <v>217</v>
      </c>
      <c r="N12" s="100">
        <v>30.9</v>
      </c>
      <c r="P12" s="70">
        <v>42451</v>
      </c>
      <c r="Q12" t="s">
        <v>140</v>
      </c>
      <c r="R12" s="100">
        <v>15.83</v>
      </c>
      <c r="T12" s="70">
        <v>42434</v>
      </c>
      <c r="U12" t="s">
        <v>193</v>
      </c>
      <c r="V12" s="20">
        <v>10</v>
      </c>
      <c r="X12" s="70">
        <v>42434</v>
      </c>
      <c r="Y12" t="s">
        <v>197</v>
      </c>
      <c r="Z12" s="100">
        <v>16</v>
      </c>
      <c r="AB12" s="70">
        <v>42440</v>
      </c>
      <c r="AC12" t="s">
        <v>208</v>
      </c>
      <c r="AD12" s="20">
        <v>15</v>
      </c>
      <c r="AF12" s="70">
        <v>42436</v>
      </c>
      <c r="AG12" t="s">
        <v>202</v>
      </c>
      <c r="AH12" s="20">
        <v>2.48</v>
      </c>
    </row>
    <row r="13" spans="2:34" x14ac:dyDescent="0.2">
      <c r="B13" s="40" t="s">
        <v>35</v>
      </c>
      <c r="C13" s="41">
        <v>153.94</v>
      </c>
      <c r="D13" s="41">
        <v>153.80000000000001</v>
      </c>
      <c r="F13" s="62" t="s">
        <v>54</v>
      </c>
      <c r="G13" s="6">
        <f>+(7.65+36.33+10.35+8.79)/5+15.12</f>
        <v>27.744</v>
      </c>
      <c r="H13" s="21"/>
      <c r="I13" s="21" t="s">
        <v>68</v>
      </c>
      <c r="J13" s="33">
        <f>V8</f>
        <v>272.62999999999994</v>
      </c>
      <c r="L13" s="70">
        <v>42456</v>
      </c>
      <c r="M13" t="s">
        <v>219</v>
      </c>
      <c r="N13" s="100">
        <v>28.12</v>
      </c>
      <c r="P13" s="70">
        <v>42459</v>
      </c>
      <c r="Q13" t="s">
        <v>140</v>
      </c>
      <c r="R13" s="100">
        <v>7.38</v>
      </c>
      <c r="T13" s="70">
        <v>42435</v>
      </c>
      <c r="U13" t="s">
        <v>198</v>
      </c>
      <c r="V13" s="100">
        <v>20.47</v>
      </c>
      <c r="X13" s="70">
        <v>42434</v>
      </c>
      <c r="Y13" t="s">
        <v>191</v>
      </c>
      <c r="Z13" s="20">
        <v>16.239999999999998</v>
      </c>
      <c r="AB13" s="70">
        <v>42443</v>
      </c>
      <c r="AC13" t="s">
        <v>169</v>
      </c>
      <c r="AD13" s="100">
        <v>10</v>
      </c>
      <c r="AF13" s="70">
        <v>42437</v>
      </c>
      <c r="AG13" t="s">
        <v>204</v>
      </c>
      <c r="AH13" s="100">
        <v>16.079999999999998</v>
      </c>
    </row>
    <row r="14" spans="2:34" x14ac:dyDescent="0.2">
      <c r="B14" s="40" t="s">
        <v>36</v>
      </c>
      <c r="C14" s="41">
        <v>36</v>
      </c>
      <c r="D14" s="41">
        <v>35.97</v>
      </c>
      <c r="F14" s="62" t="s">
        <v>55</v>
      </c>
      <c r="G14" s="103">
        <v>30</v>
      </c>
      <c r="H14" s="21"/>
      <c r="I14" s="21" t="s">
        <v>69</v>
      </c>
      <c r="J14" s="33">
        <f>Z8</f>
        <v>91.52</v>
      </c>
      <c r="L14" s="70">
        <v>42457</v>
      </c>
      <c r="M14" t="s">
        <v>140</v>
      </c>
      <c r="N14" s="100">
        <v>14.56</v>
      </c>
      <c r="T14" s="70">
        <v>42435</v>
      </c>
      <c r="U14" t="s">
        <v>199</v>
      </c>
      <c r="V14" s="100">
        <v>4.33</v>
      </c>
      <c r="X14" s="70">
        <v>42434</v>
      </c>
      <c r="Y14" t="s">
        <v>191</v>
      </c>
      <c r="Z14" s="100">
        <v>12.99</v>
      </c>
      <c r="AB14" s="70">
        <v>42443</v>
      </c>
      <c r="AC14" t="s">
        <v>211</v>
      </c>
      <c r="AD14" s="100">
        <v>14.06</v>
      </c>
      <c r="AF14" s="70">
        <v>42438</v>
      </c>
      <c r="AG14" t="s">
        <v>206</v>
      </c>
      <c r="AH14" s="100">
        <v>12.44</v>
      </c>
    </row>
    <row r="15" spans="2:34" x14ac:dyDescent="0.2">
      <c r="B15" s="42" t="s">
        <v>39</v>
      </c>
      <c r="C15" s="22">
        <f>SUM(C12:C14)</f>
        <v>544.04</v>
      </c>
      <c r="D15" s="43">
        <f>SUM(D12:D14)</f>
        <v>543.28</v>
      </c>
      <c r="F15" s="63" t="s">
        <v>56</v>
      </c>
      <c r="G15" s="104">
        <f>SUM(G11:G14)</f>
        <v>93.298000000000002</v>
      </c>
      <c r="H15" s="21"/>
      <c r="I15" s="21" t="s">
        <v>70</v>
      </c>
      <c r="J15" s="33">
        <f>AD8</f>
        <v>85.81</v>
      </c>
      <c r="L15" s="70">
        <v>42459</v>
      </c>
      <c r="M15" t="s">
        <v>140</v>
      </c>
      <c r="N15" s="100">
        <v>7.58</v>
      </c>
      <c r="T15" s="70">
        <v>42436</v>
      </c>
      <c r="U15" t="s">
        <v>203</v>
      </c>
      <c r="V15" s="100">
        <v>11.67</v>
      </c>
      <c r="X15" s="70">
        <v>42435</v>
      </c>
      <c r="Y15" t="s">
        <v>200</v>
      </c>
      <c r="Z15" s="100">
        <v>14.75</v>
      </c>
      <c r="AB15" s="70">
        <v>42447</v>
      </c>
      <c r="AC15" t="s">
        <v>208</v>
      </c>
      <c r="AD15" s="20">
        <v>25</v>
      </c>
      <c r="AF15" s="70">
        <v>42438</v>
      </c>
      <c r="AG15" t="s">
        <v>207</v>
      </c>
      <c r="AH15" s="100">
        <v>3.25</v>
      </c>
    </row>
    <row r="16" spans="2:34" ht="16" thickBot="1" x14ac:dyDescent="0.25">
      <c r="B16" s="40" t="s">
        <v>40</v>
      </c>
      <c r="C16" s="24">
        <f>C15/C8</f>
        <v>0.2193232118812839</v>
      </c>
      <c r="D16" s="44">
        <f>D15/D8</f>
        <v>0.21901682698122182</v>
      </c>
      <c r="F16" s="32"/>
      <c r="G16" s="6"/>
      <c r="H16" s="21"/>
      <c r="I16" s="21" t="s">
        <v>71</v>
      </c>
      <c r="J16" s="33">
        <f>AH8</f>
        <v>163.73000000000002</v>
      </c>
      <c r="T16" s="70">
        <v>42438</v>
      </c>
      <c r="U16" t="s">
        <v>156</v>
      </c>
      <c r="V16" s="100">
        <v>6.31</v>
      </c>
      <c r="X16" s="70">
        <v>42447</v>
      </c>
      <c r="Y16" t="s">
        <v>214</v>
      </c>
      <c r="Z16" s="100">
        <v>6.47</v>
      </c>
      <c r="AB16" s="70">
        <v>42455</v>
      </c>
      <c r="AC16" t="s">
        <v>220</v>
      </c>
      <c r="AD16" s="20">
        <v>3</v>
      </c>
      <c r="AF16" s="70">
        <v>42442</v>
      </c>
      <c r="AG16" t="s">
        <v>210</v>
      </c>
      <c r="AH16" s="20">
        <v>36.81</v>
      </c>
    </row>
    <row r="17" spans="2:34" ht="16" thickBot="1" x14ac:dyDescent="0.25">
      <c r="B17" s="40"/>
      <c r="C17" s="24"/>
      <c r="D17" s="45">
        <f>SUM(C15:D15)</f>
        <v>1087.32</v>
      </c>
      <c r="F17" s="65" t="s">
        <v>63</v>
      </c>
      <c r="G17" s="6"/>
      <c r="H17" s="21"/>
      <c r="I17" s="77" t="s">
        <v>94</v>
      </c>
      <c r="J17" s="33">
        <f>2.99+0.51+1.51+0.51+1.27</f>
        <v>6.7899999999999991</v>
      </c>
      <c r="T17" s="70">
        <v>42438</v>
      </c>
      <c r="U17" t="s">
        <v>179</v>
      </c>
      <c r="V17" s="100">
        <v>7.85</v>
      </c>
      <c r="AF17" s="70">
        <v>42444</v>
      </c>
      <c r="AG17" t="s">
        <v>212</v>
      </c>
      <c r="AH17" s="100">
        <v>9.73</v>
      </c>
    </row>
    <row r="18" spans="2:34" x14ac:dyDescent="0.2">
      <c r="B18" s="46"/>
      <c r="C18" s="47"/>
      <c r="D18" s="48">
        <f>D17/D9</f>
        <v>0.21917001943125286</v>
      </c>
      <c r="F18" s="32" t="s">
        <v>101</v>
      </c>
      <c r="G18" s="6">
        <v>497.3</v>
      </c>
      <c r="H18" s="21"/>
      <c r="I18" s="77" t="s">
        <v>102</v>
      </c>
      <c r="J18" s="116">
        <f>SUM(J33)</f>
        <v>24.02</v>
      </c>
      <c r="T18" s="70">
        <v>42438</v>
      </c>
      <c r="U18" t="s">
        <v>205</v>
      </c>
      <c r="V18" s="100">
        <v>66.290000000000006</v>
      </c>
      <c r="Z18" s="100"/>
      <c r="AF18" s="70">
        <v>42445</v>
      </c>
      <c r="AG18" t="s">
        <v>201</v>
      </c>
      <c r="AH18" s="100">
        <v>3.5</v>
      </c>
    </row>
    <row r="19" spans="2:34" x14ac:dyDescent="0.2">
      <c r="F19" s="32" t="s">
        <v>57</v>
      </c>
      <c r="G19" s="6">
        <v>300</v>
      </c>
      <c r="H19" s="21"/>
      <c r="I19" s="55" t="s">
        <v>72</v>
      </c>
      <c r="J19" s="64">
        <f>SUM(J11:J18)</f>
        <v>857.8599999999999</v>
      </c>
      <c r="T19" s="70">
        <v>42440</v>
      </c>
      <c r="U19" t="s">
        <v>141</v>
      </c>
      <c r="V19" s="100">
        <v>10.6</v>
      </c>
      <c r="AF19" s="70">
        <v>42446</v>
      </c>
      <c r="AG19" t="s">
        <v>215</v>
      </c>
      <c r="AH19" s="100">
        <v>13</v>
      </c>
    </row>
    <row r="20" spans="2:34" ht="16" thickBot="1" x14ac:dyDescent="0.25">
      <c r="B20" s="29" t="s">
        <v>42</v>
      </c>
      <c r="C20" s="38"/>
      <c r="D20" s="39"/>
      <c r="F20" s="32" t="s">
        <v>58</v>
      </c>
      <c r="G20" s="6">
        <v>55</v>
      </c>
      <c r="H20" s="21"/>
      <c r="I20" s="21"/>
      <c r="J20" s="33"/>
      <c r="T20" s="70">
        <v>42441</v>
      </c>
      <c r="U20" t="s">
        <v>209</v>
      </c>
      <c r="V20" s="20">
        <v>12.31</v>
      </c>
      <c r="AF20" s="70">
        <v>42448</v>
      </c>
      <c r="AG20" t="s">
        <v>216</v>
      </c>
      <c r="AH20" s="100">
        <v>25.79</v>
      </c>
    </row>
    <row r="21" spans="2:34" ht="16" thickBot="1" x14ac:dyDescent="0.25">
      <c r="B21" s="40" t="s">
        <v>43</v>
      </c>
      <c r="C21" s="33">
        <f>0.06*C6</f>
        <v>148.83239999999998</v>
      </c>
      <c r="D21" s="33">
        <f>0.06*D6</f>
        <v>148.83239999999998</v>
      </c>
      <c r="F21" s="32" t="s">
        <v>91</v>
      </c>
      <c r="G21" s="6">
        <v>50</v>
      </c>
      <c r="H21" s="21"/>
      <c r="I21" s="56" t="s">
        <v>73</v>
      </c>
      <c r="J21" s="106">
        <f>SUM(G26,J19)</f>
        <v>2567.5079999999998</v>
      </c>
      <c r="T21" s="70">
        <v>42447</v>
      </c>
      <c r="U21" t="s">
        <v>213</v>
      </c>
      <c r="V21" s="100">
        <f>89.54-53.5</f>
        <v>36.040000000000006</v>
      </c>
      <c r="AF21" s="70">
        <v>42460</v>
      </c>
      <c r="AG21" t="s">
        <v>222</v>
      </c>
      <c r="AH21" s="100">
        <v>2.65</v>
      </c>
    </row>
    <row r="22" spans="2:34" x14ac:dyDescent="0.2">
      <c r="B22" s="40" t="s">
        <v>44</v>
      </c>
      <c r="C22" s="33">
        <f>0.04*C6</f>
        <v>99.221599999999995</v>
      </c>
      <c r="D22" s="33">
        <f>0.04*D6</f>
        <v>99.221599999999995</v>
      </c>
      <c r="F22" s="32" t="s">
        <v>59</v>
      </c>
      <c r="G22" s="6">
        <v>0</v>
      </c>
      <c r="H22" s="21"/>
      <c r="I22" s="21"/>
      <c r="J22" s="60"/>
      <c r="T22" s="70">
        <v>42448</v>
      </c>
      <c r="U22" t="s">
        <v>179</v>
      </c>
      <c r="V22" s="100">
        <v>7.85</v>
      </c>
    </row>
    <row r="23" spans="2:34" x14ac:dyDescent="0.2">
      <c r="B23" s="42" t="s">
        <v>45</v>
      </c>
      <c r="C23" s="23">
        <f>SUM(C21:C22)</f>
        <v>248.05399999999997</v>
      </c>
      <c r="D23" s="49">
        <f>SUM(D21:D22)</f>
        <v>248.05399999999997</v>
      </c>
      <c r="F23" s="32" t="s">
        <v>60</v>
      </c>
      <c r="G23" s="6">
        <v>5.4</v>
      </c>
      <c r="H23" s="21"/>
      <c r="I23" s="21"/>
      <c r="J23" s="60"/>
      <c r="T23" s="70">
        <v>42449</v>
      </c>
      <c r="U23" t="s">
        <v>156</v>
      </c>
      <c r="V23" s="100">
        <v>7.62</v>
      </c>
    </row>
    <row r="24" spans="2:34" ht="16" thickBot="1" x14ac:dyDescent="0.25">
      <c r="B24" s="32"/>
      <c r="C24" s="50">
        <f>C23/C6</f>
        <v>9.9999999999999992E-2</v>
      </c>
      <c r="D24" s="51">
        <f>D23/D6</f>
        <v>9.9999999999999992E-2</v>
      </c>
      <c r="F24" s="36" t="s">
        <v>95</v>
      </c>
      <c r="G24" s="103">
        <v>8.65</v>
      </c>
      <c r="H24" s="21"/>
      <c r="I24" s="21"/>
      <c r="J24" s="60"/>
      <c r="T24" s="70">
        <v>42450</v>
      </c>
      <c r="U24" t="s">
        <v>218</v>
      </c>
      <c r="V24" s="20">
        <v>9.19</v>
      </c>
    </row>
    <row r="25" spans="2:34" ht="16" thickBot="1" x14ac:dyDescent="0.25">
      <c r="B25" s="32"/>
      <c r="C25" s="21"/>
      <c r="D25" s="52">
        <f>SUM(C23:D23)</f>
        <v>496.10799999999995</v>
      </c>
      <c r="F25" s="66" t="s">
        <v>65</v>
      </c>
      <c r="G25" s="54">
        <f>SUM(G18:G24)</f>
        <v>916.34999999999991</v>
      </c>
      <c r="H25" s="21"/>
      <c r="I25" s="21"/>
      <c r="J25" s="60"/>
      <c r="T25" s="70">
        <v>42458</v>
      </c>
      <c r="U25" t="s">
        <v>156</v>
      </c>
      <c r="V25" s="100">
        <v>10.42</v>
      </c>
    </row>
    <row r="26" spans="2:34" x14ac:dyDescent="0.2">
      <c r="B26" s="36"/>
      <c r="C26" s="19"/>
      <c r="D26" s="53">
        <f>D25/SUM(C6:D6)</f>
        <v>9.9999999999999992E-2</v>
      </c>
      <c r="F26" s="107" t="s">
        <v>64</v>
      </c>
      <c r="G26" s="108">
        <f>SUM(G8,G15,G25)</f>
        <v>1709.6479999999999</v>
      </c>
      <c r="H26" s="19"/>
      <c r="I26" s="19"/>
      <c r="J26" s="67"/>
      <c r="T26" s="70">
        <v>42458</v>
      </c>
      <c r="U26" t="s">
        <v>141</v>
      </c>
      <c r="V26" s="100">
        <v>11.84</v>
      </c>
    </row>
    <row r="27" spans="2:34" ht="16" thickBot="1" x14ac:dyDescent="0.25">
      <c r="T27" s="70">
        <v>42459</v>
      </c>
      <c r="U27" t="s">
        <v>116</v>
      </c>
      <c r="V27" s="100">
        <v>8.2799999999999994</v>
      </c>
    </row>
    <row r="28" spans="2:34" ht="16" thickBot="1" x14ac:dyDescent="0.25">
      <c r="B28" s="25" t="s">
        <v>46</v>
      </c>
      <c r="C28" s="26">
        <f>C8-C15-C23</f>
        <v>1688.4459999999999</v>
      </c>
      <c r="D28" s="27">
        <f>D8-D15-D23</f>
        <v>1689.2060000000001</v>
      </c>
      <c r="I28" s="25" t="s">
        <v>74</v>
      </c>
      <c r="J28" s="68">
        <f>G5-J21</f>
        <v>18161.830000000002</v>
      </c>
      <c r="T28" s="70">
        <v>42460</v>
      </c>
      <c r="U28" t="s">
        <v>221</v>
      </c>
      <c r="V28" s="100">
        <v>11.46</v>
      </c>
    </row>
    <row r="29" spans="2:34" ht="16" thickBot="1" x14ac:dyDescent="0.25">
      <c r="D29" s="28">
        <f>SUM(C28:D28)</f>
        <v>3377.652</v>
      </c>
    </row>
    <row r="30" spans="2:34" x14ac:dyDescent="0.2">
      <c r="I30" t="s">
        <v>100</v>
      </c>
      <c r="J30" s="20">
        <f>J28-G2-1116</f>
        <v>815.68400000000111</v>
      </c>
    </row>
    <row r="32" spans="2:34" x14ac:dyDescent="0.2">
      <c r="I32" t="s">
        <v>102</v>
      </c>
      <c r="J32" s="20"/>
    </row>
    <row r="33" spans="4:10" x14ac:dyDescent="0.2">
      <c r="D33" s="20"/>
      <c r="I33" t="s">
        <v>250</v>
      </c>
      <c r="J33" s="20">
        <v>24.02</v>
      </c>
    </row>
    <row r="34" spans="4:10" x14ac:dyDescent="0.2">
      <c r="D34" s="20"/>
      <c r="J34" s="20"/>
    </row>
    <row r="35" spans="4:10" x14ac:dyDescent="0.2">
      <c r="J35" s="20"/>
    </row>
    <row r="36" spans="4:10" x14ac:dyDescent="0.2">
      <c r="J36" s="20"/>
    </row>
  </sheetData>
  <mergeCells count="19">
    <mergeCell ref="AF4:AG4"/>
    <mergeCell ref="L4:M4"/>
    <mergeCell ref="P4:Q4"/>
    <mergeCell ref="T4:U4"/>
    <mergeCell ref="X4:Y4"/>
    <mergeCell ref="AB4:AC4"/>
    <mergeCell ref="AF7:AG7"/>
    <mergeCell ref="L8:M8"/>
    <mergeCell ref="P8:Q8"/>
    <mergeCell ref="T8:U8"/>
    <mergeCell ref="X8:Y8"/>
    <mergeCell ref="AB8:AC8"/>
    <mergeCell ref="AF8:AG8"/>
    <mergeCell ref="AB7:AC7"/>
    <mergeCell ref="L6:M6"/>
    <mergeCell ref="L7:M7"/>
    <mergeCell ref="P7:Q7"/>
    <mergeCell ref="T7:U7"/>
    <mergeCell ref="X7:Y7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H36"/>
  <sheetViews>
    <sheetView zoomScale="90" zoomScaleNormal="90" zoomScalePageLayoutView="90" workbookViewId="0">
      <selection activeCell="AH15" sqref="AH15"/>
    </sheetView>
  </sheetViews>
  <sheetFormatPr baseColWidth="10" defaultColWidth="8.83203125" defaultRowHeight="15" x14ac:dyDescent="0.2"/>
  <cols>
    <col min="1" max="1" width="1.83203125" customWidth="1"/>
    <col min="2" max="2" width="24.5" bestFit="1" customWidth="1"/>
    <col min="3" max="4" width="14.6640625" customWidth="1"/>
    <col min="5" max="5" width="3.6640625" customWidth="1"/>
    <col min="6" max="6" width="25.83203125" bestFit="1" customWidth="1"/>
    <col min="7" max="7" width="14.6640625" style="3" customWidth="1"/>
    <col min="8" max="8" width="3.5" customWidth="1"/>
    <col min="9" max="9" width="25.5" bestFit="1" customWidth="1"/>
    <col min="10" max="10" width="12.1640625" bestFit="1" customWidth="1"/>
    <col min="11" max="11" width="3.6640625" customWidth="1"/>
    <col min="12" max="12" width="11.5" style="70" customWidth="1"/>
    <col min="13" max="13" width="12" bestFit="1" customWidth="1"/>
    <col min="14" max="14" width="8.83203125" style="20"/>
    <col min="15" max="15" width="2.6640625" customWidth="1"/>
    <col min="16" max="16" width="11.5" style="70" customWidth="1"/>
    <col min="17" max="17" width="11.33203125" bestFit="1" customWidth="1"/>
    <col min="18" max="18" width="8.83203125" style="20"/>
    <col min="19" max="19" width="2.6640625" customWidth="1"/>
    <col min="20" max="20" width="11.5" style="70" customWidth="1"/>
    <col min="21" max="21" width="17.6640625" bestFit="1" customWidth="1"/>
    <col min="22" max="22" width="10.1640625" style="20" bestFit="1" customWidth="1"/>
    <col min="23" max="23" width="2.6640625" customWidth="1"/>
    <col min="24" max="24" width="11.5" style="70" customWidth="1"/>
    <col min="25" max="25" width="16.33203125" bestFit="1" customWidth="1"/>
    <col min="26" max="26" width="8.83203125" style="20"/>
    <col min="27" max="27" width="2.6640625" customWidth="1"/>
    <col min="28" max="28" width="11.5" style="70" customWidth="1"/>
    <col min="29" max="29" width="19.1640625" bestFit="1" customWidth="1"/>
    <col min="30" max="30" width="8.83203125" style="20"/>
    <col min="31" max="31" width="2.6640625" customWidth="1"/>
    <col min="32" max="32" width="11.5" style="70" customWidth="1"/>
    <col min="33" max="33" width="25" bestFit="1" customWidth="1"/>
    <col min="34" max="34" width="8.83203125" style="20"/>
  </cols>
  <sheetData>
    <row r="1" spans="2:34" ht="10.5" customHeight="1" thickBot="1" x14ac:dyDescent="0.25"/>
    <row r="2" spans="2:34" ht="16" thickBot="1" x14ac:dyDescent="0.25">
      <c r="B2" s="16" t="s">
        <v>236</v>
      </c>
      <c r="F2" t="s">
        <v>47</v>
      </c>
      <c r="G2" s="3">
        <f>Mar!J28</f>
        <v>18161.830000000002</v>
      </c>
      <c r="I2" s="20"/>
    </row>
    <row r="3" spans="2:34" x14ac:dyDescent="0.2">
      <c r="B3" s="21" t="s">
        <v>38</v>
      </c>
      <c r="C3" s="20">
        <f>C6*24</f>
        <v>59532.959999999999</v>
      </c>
      <c r="F3" s="105" t="s">
        <v>46</v>
      </c>
      <c r="G3" s="15">
        <f>D29</f>
        <v>3377.6619999999998</v>
      </c>
    </row>
    <row r="4" spans="2:34" x14ac:dyDescent="0.2">
      <c r="F4" t="s">
        <v>48</v>
      </c>
      <c r="G4" s="3">
        <v>0</v>
      </c>
      <c r="I4" t="s">
        <v>112</v>
      </c>
      <c r="J4" s="20">
        <f>SUM(N4,R4,V4,Z4,AD4,AH4)</f>
        <v>298.64</v>
      </c>
      <c r="L4" s="134" t="s">
        <v>105</v>
      </c>
      <c r="M4" s="134"/>
      <c r="N4" s="20">
        <f>150-N8</f>
        <v>84.12</v>
      </c>
      <c r="P4" s="134" t="s">
        <v>106</v>
      </c>
      <c r="Q4" s="134"/>
      <c r="R4" s="20">
        <f>100-R8</f>
        <v>-60.54000000000002</v>
      </c>
      <c r="T4" s="134" t="s">
        <v>107</v>
      </c>
      <c r="U4" s="134"/>
      <c r="V4" s="20">
        <f>200-V8</f>
        <v>-39.129999999999967</v>
      </c>
      <c r="X4" s="134" t="s">
        <v>108</v>
      </c>
      <c r="Y4" s="134"/>
      <c r="Z4" s="20">
        <f>100-Z8</f>
        <v>30.689999999999998</v>
      </c>
      <c r="AB4" s="134" t="s">
        <v>109</v>
      </c>
      <c r="AC4" s="134"/>
      <c r="AD4" s="20">
        <f>100-AD8</f>
        <v>59.1</v>
      </c>
      <c r="AF4" s="134" t="s">
        <v>110</v>
      </c>
      <c r="AG4" s="134"/>
      <c r="AH4" s="20">
        <f>300-AH8</f>
        <v>224.39999999999998</v>
      </c>
    </row>
    <row r="5" spans="2:34" ht="16" thickBot="1" x14ac:dyDescent="0.25">
      <c r="B5" s="29" t="s">
        <v>15</v>
      </c>
      <c r="C5" s="30" t="s">
        <v>31</v>
      </c>
      <c r="D5" s="31" t="s">
        <v>32</v>
      </c>
      <c r="F5" s="105" t="s">
        <v>49</v>
      </c>
      <c r="G5" s="15">
        <f>SUM(G2:G4)</f>
        <v>21539.492000000002</v>
      </c>
    </row>
    <row r="6" spans="2:34" ht="16" thickBot="1" x14ac:dyDescent="0.25">
      <c r="B6" s="32" t="s">
        <v>33</v>
      </c>
      <c r="C6" s="103">
        <v>2480.54</v>
      </c>
      <c r="D6" s="116">
        <v>2480.54</v>
      </c>
      <c r="L6" s="130" t="s">
        <v>77</v>
      </c>
      <c r="M6" s="130"/>
      <c r="N6" s="72"/>
      <c r="O6" s="17"/>
      <c r="P6" s="73"/>
      <c r="Q6" s="17"/>
      <c r="R6" s="72"/>
      <c r="S6" s="17"/>
      <c r="T6" s="73"/>
      <c r="U6" s="17"/>
      <c r="V6" s="72"/>
      <c r="W6" s="17"/>
      <c r="X6" s="73"/>
      <c r="Y6" s="17"/>
      <c r="Z6" s="72"/>
      <c r="AA6" s="17"/>
      <c r="AB6" s="73"/>
      <c r="AC6" s="17"/>
      <c r="AD6" s="72"/>
      <c r="AE6" s="17"/>
      <c r="AF6" s="73"/>
      <c r="AG6" s="17"/>
      <c r="AH6" s="72"/>
    </row>
    <row r="7" spans="2:34" ht="16" thickBot="1" x14ac:dyDescent="0.25">
      <c r="B7" s="32" t="s">
        <v>34</v>
      </c>
      <c r="C7" s="6">
        <v>0</v>
      </c>
      <c r="D7" s="33">
        <v>0</v>
      </c>
      <c r="F7" s="57" t="s">
        <v>50</v>
      </c>
      <c r="G7" s="58"/>
      <c r="H7" s="38"/>
      <c r="I7" s="38"/>
      <c r="J7" s="39"/>
      <c r="L7" s="131" t="s">
        <v>62</v>
      </c>
      <c r="M7" s="131"/>
      <c r="P7" s="132" t="s">
        <v>61</v>
      </c>
      <c r="Q7" s="132"/>
      <c r="T7" s="132" t="s">
        <v>68</v>
      </c>
      <c r="U7" s="132"/>
      <c r="X7" s="132" t="s">
        <v>69</v>
      </c>
      <c r="Y7" s="132"/>
      <c r="AB7" s="132" t="s">
        <v>81</v>
      </c>
      <c r="AC7" s="132"/>
      <c r="AF7" s="132" t="s">
        <v>111</v>
      </c>
      <c r="AG7" s="132"/>
    </row>
    <row r="8" spans="2:34" ht="16" thickBot="1" x14ac:dyDescent="0.25">
      <c r="B8" s="34" t="s">
        <v>66</v>
      </c>
      <c r="C8" s="18">
        <f>C6+C7</f>
        <v>2480.54</v>
      </c>
      <c r="D8" s="35">
        <f>D6+D7</f>
        <v>2480.54</v>
      </c>
      <c r="F8" s="59" t="s">
        <v>90</v>
      </c>
      <c r="G8" s="104">
        <v>700</v>
      </c>
      <c r="H8" s="21"/>
      <c r="I8" s="21"/>
      <c r="J8" s="60"/>
      <c r="L8" s="133" t="s">
        <v>82</v>
      </c>
      <c r="M8" s="133"/>
      <c r="N8" s="71">
        <f>SUM(N10:N50)</f>
        <v>65.88</v>
      </c>
      <c r="P8" s="133" t="s">
        <v>82</v>
      </c>
      <c r="Q8" s="133"/>
      <c r="R8" s="71">
        <f>SUM(R10:R50)</f>
        <v>160.54000000000002</v>
      </c>
      <c r="T8" s="133" t="s">
        <v>82</v>
      </c>
      <c r="U8" s="133"/>
      <c r="V8" s="71">
        <f>SUM(V10:V50)</f>
        <v>239.12999999999997</v>
      </c>
      <c r="X8" s="133" t="s">
        <v>82</v>
      </c>
      <c r="Y8" s="133"/>
      <c r="Z8" s="71">
        <f>SUM(Z10:Z50)</f>
        <v>69.31</v>
      </c>
      <c r="AB8" s="133" t="s">
        <v>82</v>
      </c>
      <c r="AC8" s="133"/>
      <c r="AD8" s="71">
        <f>SUM(AD10:AD50)</f>
        <v>40.9</v>
      </c>
      <c r="AF8" s="133" t="s">
        <v>82</v>
      </c>
      <c r="AG8" s="133"/>
      <c r="AH8" s="71">
        <f>SUM(AH10:AH50)</f>
        <v>75.600000000000009</v>
      </c>
    </row>
    <row r="9" spans="2:34" x14ac:dyDescent="0.2">
      <c r="B9" s="36"/>
      <c r="C9" s="19"/>
      <c r="D9" s="37">
        <f>SUM(C8:D8)</f>
        <v>4961.08</v>
      </c>
      <c r="F9" s="32"/>
      <c r="G9" s="6"/>
      <c r="H9" s="21"/>
      <c r="I9" s="21"/>
      <c r="J9" s="60"/>
      <c r="L9" s="74" t="s">
        <v>78</v>
      </c>
      <c r="M9" s="19" t="s">
        <v>79</v>
      </c>
      <c r="N9" s="75" t="s">
        <v>80</v>
      </c>
      <c r="P9" s="74" t="s">
        <v>78</v>
      </c>
      <c r="Q9" s="19" t="s">
        <v>79</v>
      </c>
      <c r="R9" s="75" t="s">
        <v>80</v>
      </c>
      <c r="T9" s="74" t="s">
        <v>78</v>
      </c>
      <c r="U9" s="19" t="s">
        <v>79</v>
      </c>
      <c r="V9" s="75" t="s">
        <v>80</v>
      </c>
      <c r="X9" s="74" t="s">
        <v>78</v>
      </c>
      <c r="Y9" s="19" t="s">
        <v>79</v>
      </c>
      <c r="Z9" s="75" t="s">
        <v>80</v>
      </c>
      <c r="AB9" s="74" t="s">
        <v>78</v>
      </c>
      <c r="AC9" s="19" t="s">
        <v>79</v>
      </c>
      <c r="AD9" s="75" t="s">
        <v>80</v>
      </c>
      <c r="AF9" s="74" t="s">
        <v>78</v>
      </c>
      <c r="AG9" s="19" t="s">
        <v>79</v>
      </c>
      <c r="AH9" s="75" t="s">
        <v>80</v>
      </c>
    </row>
    <row r="10" spans="2:34" ht="16" thickBot="1" x14ac:dyDescent="0.25">
      <c r="F10" s="61" t="s">
        <v>51</v>
      </c>
      <c r="G10" s="6"/>
      <c r="H10" s="21"/>
      <c r="I10" s="17" t="s">
        <v>67</v>
      </c>
      <c r="J10" s="60"/>
      <c r="L10" s="70">
        <v>42472</v>
      </c>
      <c r="M10" t="s">
        <v>119</v>
      </c>
      <c r="N10" s="100">
        <v>30.99</v>
      </c>
      <c r="P10" s="70">
        <v>42461</v>
      </c>
      <c r="Q10" t="s">
        <v>119</v>
      </c>
      <c r="R10" s="100">
        <v>30.48</v>
      </c>
      <c r="T10" s="70">
        <v>42461</v>
      </c>
      <c r="U10" t="s">
        <v>179</v>
      </c>
      <c r="V10" s="100">
        <v>7.85</v>
      </c>
      <c r="X10" s="70">
        <v>42469</v>
      </c>
      <c r="Y10" t="s">
        <v>230</v>
      </c>
      <c r="Z10" s="100">
        <v>29.67</v>
      </c>
      <c r="AB10" s="70">
        <v>42467</v>
      </c>
      <c r="AC10" t="s">
        <v>226</v>
      </c>
      <c r="AD10" s="100">
        <v>7.95</v>
      </c>
      <c r="AF10" s="70">
        <v>42463</v>
      </c>
      <c r="AG10" t="s">
        <v>223</v>
      </c>
      <c r="AH10" s="100">
        <v>1.4</v>
      </c>
    </row>
    <row r="11" spans="2:34" ht="16" thickBot="1" x14ac:dyDescent="0.25">
      <c r="B11" s="29" t="s">
        <v>41</v>
      </c>
      <c r="C11" s="38"/>
      <c r="D11" s="39"/>
      <c r="F11" s="62" t="s">
        <v>52</v>
      </c>
      <c r="G11" s="6">
        <f>69.53/5</f>
        <v>13.906000000000001</v>
      </c>
      <c r="H11" s="21"/>
      <c r="I11" s="21" t="s">
        <v>62</v>
      </c>
      <c r="J11" s="33">
        <f>N8</f>
        <v>65.88</v>
      </c>
      <c r="L11" s="70">
        <v>42483</v>
      </c>
      <c r="M11" t="s">
        <v>122</v>
      </c>
      <c r="N11" s="100">
        <v>34.89</v>
      </c>
      <c r="P11" s="70">
        <v>42466</v>
      </c>
      <c r="Q11" t="s">
        <v>119</v>
      </c>
      <c r="R11" s="100">
        <v>5.96</v>
      </c>
      <c r="T11" s="70">
        <v>42463</v>
      </c>
      <c r="U11" t="s">
        <v>168</v>
      </c>
      <c r="V11" s="100">
        <v>7.03</v>
      </c>
      <c r="X11" s="70">
        <v>42475</v>
      </c>
      <c r="Y11" t="s">
        <v>238</v>
      </c>
      <c r="Z11" s="100">
        <v>8</v>
      </c>
      <c r="AB11" s="70">
        <v>42467</v>
      </c>
      <c r="AC11" t="s">
        <v>226</v>
      </c>
      <c r="AD11" s="100">
        <v>7.95</v>
      </c>
      <c r="AF11" s="70">
        <v>42469</v>
      </c>
      <c r="AG11" t="s">
        <v>232</v>
      </c>
      <c r="AH11" s="100">
        <v>2.11</v>
      </c>
    </row>
    <row r="12" spans="2:34" x14ac:dyDescent="0.2">
      <c r="B12" s="40" t="s">
        <v>37</v>
      </c>
      <c r="C12" s="41">
        <v>354.1</v>
      </c>
      <c r="D12" s="41">
        <v>353.51</v>
      </c>
      <c r="F12" s="62" t="s">
        <v>53</v>
      </c>
      <c r="G12" s="6">
        <f>+(58.81+49.92)/5</f>
        <v>21.746000000000002</v>
      </c>
      <c r="H12" s="21"/>
      <c r="I12" s="21" t="s">
        <v>61</v>
      </c>
      <c r="J12" s="33">
        <f>R8</f>
        <v>160.54000000000002</v>
      </c>
      <c r="N12" s="100"/>
      <c r="P12" s="70">
        <v>42473</v>
      </c>
      <c r="Q12" t="s">
        <v>119</v>
      </c>
      <c r="R12" s="100">
        <v>60.02</v>
      </c>
      <c r="T12" s="70">
        <v>42464</v>
      </c>
      <c r="U12" t="s">
        <v>141</v>
      </c>
      <c r="V12" s="100">
        <v>7.31</v>
      </c>
      <c r="X12" s="70">
        <v>42476</v>
      </c>
      <c r="Y12" t="s">
        <v>146</v>
      </c>
      <c r="Z12" s="100">
        <v>21.64</v>
      </c>
      <c r="AB12" s="70">
        <v>42469</v>
      </c>
      <c r="AC12" t="s">
        <v>231</v>
      </c>
      <c r="AD12" s="100">
        <v>25</v>
      </c>
      <c r="AF12" s="70">
        <v>42470</v>
      </c>
      <c r="AG12" t="s">
        <v>233</v>
      </c>
      <c r="AH12" s="100">
        <v>8.25</v>
      </c>
    </row>
    <row r="13" spans="2:34" x14ac:dyDescent="0.2">
      <c r="B13" s="40" t="s">
        <v>35</v>
      </c>
      <c r="C13" s="41">
        <v>153.94</v>
      </c>
      <c r="D13" s="41">
        <v>153.79</v>
      </c>
      <c r="F13" s="62" t="s">
        <v>54</v>
      </c>
      <c r="G13" s="6">
        <v>14.95</v>
      </c>
      <c r="H13" s="21"/>
      <c r="I13" s="21" t="s">
        <v>68</v>
      </c>
      <c r="J13" s="33">
        <f>V8</f>
        <v>239.12999999999997</v>
      </c>
      <c r="P13" s="70">
        <v>42477</v>
      </c>
      <c r="Q13" t="s">
        <v>119</v>
      </c>
      <c r="R13" s="100">
        <v>64.08</v>
      </c>
      <c r="T13" s="70">
        <v>42464</v>
      </c>
      <c r="U13" t="s">
        <v>224</v>
      </c>
      <c r="V13" s="100">
        <v>9.73</v>
      </c>
      <c r="X13" s="70">
        <v>42477</v>
      </c>
      <c r="Y13" t="s">
        <v>239</v>
      </c>
      <c r="Z13" s="100">
        <v>10</v>
      </c>
      <c r="AF13" s="70">
        <v>42474</v>
      </c>
      <c r="AG13" t="s">
        <v>237</v>
      </c>
      <c r="AH13" s="100">
        <v>10</v>
      </c>
    </row>
    <row r="14" spans="2:34" x14ac:dyDescent="0.2">
      <c r="B14" s="40" t="s">
        <v>36</v>
      </c>
      <c r="C14" s="41">
        <v>36</v>
      </c>
      <c r="D14" s="41">
        <v>35.97</v>
      </c>
      <c r="F14" s="62" t="s">
        <v>55</v>
      </c>
      <c r="G14" s="103">
        <v>30</v>
      </c>
      <c r="H14" s="21"/>
      <c r="I14" s="21" t="s">
        <v>69</v>
      </c>
      <c r="J14" s="33">
        <f>Z8</f>
        <v>69.31</v>
      </c>
      <c r="T14" s="70">
        <v>42465</v>
      </c>
      <c r="U14" t="s">
        <v>163</v>
      </c>
      <c r="V14" s="100">
        <v>10.59</v>
      </c>
      <c r="Z14" s="100"/>
      <c r="AF14" s="70">
        <v>42478</v>
      </c>
      <c r="AG14" t="s">
        <v>240</v>
      </c>
      <c r="AH14" s="100">
        <f>16.31+88.7-67.2-20</f>
        <v>17.810000000000002</v>
      </c>
    </row>
    <row r="15" spans="2:34" x14ac:dyDescent="0.2">
      <c r="B15" s="42" t="s">
        <v>39</v>
      </c>
      <c r="C15" s="22">
        <f>SUM(C12:C14)</f>
        <v>544.04</v>
      </c>
      <c r="D15" s="43">
        <f>SUM(D12:D14)</f>
        <v>543.27</v>
      </c>
      <c r="F15" s="63" t="s">
        <v>56</v>
      </c>
      <c r="G15" s="104">
        <f>SUM(G11:G14)</f>
        <v>80.602000000000004</v>
      </c>
      <c r="H15" s="21"/>
      <c r="I15" s="21" t="s">
        <v>70</v>
      </c>
      <c r="J15" s="33">
        <f>AD8</f>
        <v>40.9</v>
      </c>
      <c r="T15" s="70">
        <v>42466</v>
      </c>
      <c r="U15" t="s">
        <v>190</v>
      </c>
      <c r="V15" s="100">
        <v>8.65</v>
      </c>
      <c r="Z15" s="100"/>
      <c r="AF15" s="70">
        <v>42484</v>
      </c>
      <c r="AG15" t="s">
        <v>243</v>
      </c>
      <c r="AH15" s="100">
        <f>51.95+4.98-20.9</f>
        <v>36.030000000000008</v>
      </c>
    </row>
    <row r="16" spans="2:34" ht="16" thickBot="1" x14ac:dyDescent="0.25">
      <c r="B16" s="40" t="s">
        <v>40</v>
      </c>
      <c r="C16" s="24">
        <f>C15/C8</f>
        <v>0.2193232118812839</v>
      </c>
      <c r="D16" s="44">
        <f>D15/D8</f>
        <v>0.21901279560095785</v>
      </c>
      <c r="F16" s="32"/>
      <c r="G16" s="6"/>
      <c r="H16" s="21"/>
      <c r="I16" s="21" t="s">
        <v>71</v>
      </c>
      <c r="J16" s="33">
        <f>AH8</f>
        <v>75.600000000000009</v>
      </c>
      <c r="T16" s="70">
        <v>42467</v>
      </c>
      <c r="U16" t="s">
        <v>225</v>
      </c>
      <c r="V16" s="100">
        <v>15.24</v>
      </c>
    </row>
    <row r="17" spans="2:26" ht="16" thickBot="1" x14ac:dyDescent="0.25">
      <c r="B17" s="40"/>
      <c r="C17" s="24"/>
      <c r="D17" s="45">
        <f>SUM(C15:D15)</f>
        <v>1087.31</v>
      </c>
      <c r="F17" s="65" t="s">
        <v>63</v>
      </c>
      <c r="G17" s="6"/>
      <c r="H17" s="21"/>
      <c r="I17" s="77" t="s">
        <v>94</v>
      </c>
      <c r="J17" s="33">
        <f>0.04+2.88+0.98+1.91</f>
        <v>5.81</v>
      </c>
      <c r="T17" s="70">
        <v>42468</v>
      </c>
      <c r="U17" t="s">
        <v>227</v>
      </c>
      <c r="V17" s="100">
        <v>16.79</v>
      </c>
    </row>
    <row r="18" spans="2:26" x14ac:dyDescent="0.2">
      <c r="B18" s="46"/>
      <c r="C18" s="47"/>
      <c r="D18" s="48">
        <f>D17/D9</f>
        <v>0.21916800374112089</v>
      </c>
      <c r="F18" s="32" t="s">
        <v>101</v>
      </c>
      <c r="G18" s="6">
        <v>497.3</v>
      </c>
      <c r="H18" s="21"/>
      <c r="I18" s="77" t="s">
        <v>102</v>
      </c>
      <c r="J18" s="116">
        <f>SUM(J33:J36)</f>
        <v>398.35</v>
      </c>
      <c r="T18" s="70">
        <v>42468</v>
      </c>
      <c r="U18" t="s">
        <v>228</v>
      </c>
      <c r="V18" s="100">
        <f>9+48.23</f>
        <v>57.23</v>
      </c>
      <c r="Z18" s="100"/>
    </row>
    <row r="19" spans="2:26" x14ac:dyDescent="0.2">
      <c r="F19" s="32" t="s">
        <v>57</v>
      </c>
      <c r="G19" s="6">
        <v>300</v>
      </c>
      <c r="H19" s="21"/>
      <c r="I19" s="55" t="s">
        <v>72</v>
      </c>
      <c r="J19" s="64">
        <f>SUM(J11:J18)</f>
        <v>1055.52</v>
      </c>
      <c r="T19" s="70">
        <v>42470</v>
      </c>
      <c r="U19" t="s">
        <v>229</v>
      </c>
      <c r="V19" s="100">
        <f>5+27.54</f>
        <v>32.54</v>
      </c>
    </row>
    <row r="20" spans="2:26" ht="16" thickBot="1" x14ac:dyDescent="0.25">
      <c r="B20" s="29" t="s">
        <v>42</v>
      </c>
      <c r="C20" s="38"/>
      <c r="D20" s="39"/>
      <c r="F20" s="32" t="s">
        <v>58</v>
      </c>
      <c r="G20" s="6">
        <v>55</v>
      </c>
      <c r="H20" s="21"/>
      <c r="I20" s="21"/>
      <c r="J20" s="33"/>
      <c r="T20" s="70">
        <v>42471</v>
      </c>
      <c r="U20" t="s">
        <v>234</v>
      </c>
      <c r="V20" s="100">
        <v>13.06</v>
      </c>
    </row>
    <row r="21" spans="2:26" ht="16" thickBot="1" x14ac:dyDescent="0.25">
      <c r="B21" s="40" t="s">
        <v>43</v>
      </c>
      <c r="C21" s="33">
        <f>0.06*C6</f>
        <v>148.83239999999998</v>
      </c>
      <c r="D21" s="33">
        <f>0.06*D6</f>
        <v>148.83239999999998</v>
      </c>
      <c r="F21" s="32" t="s">
        <v>91</v>
      </c>
      <c r="G21" s="6">
        <v>70</v>
      </c>
      <c r="H21" s="21"/>
      <c r="I21" s="56" t="s">
        <v>73</v>
      </c>
      <c r="J21" s="106">
        <f>SUM(G26,J19)</f>
        <v>2772.4719999999998</v>
      </c>
      <c r="T21" s="70">
        <v>42471</v>
      </c>
      <c r="U21" t="s">
        <v>235</v>
      </c>
      <c r="V21" s="100">
        <v>9.48</v>
      </c>
    </row>
    <row r="22" spans="2:26" x14ac:dyDescent="0.2">
      <c r="B22" s="40" t="s">
        <v>44</v>
      </c>
      <c r="C22" s="33">
        <f>0.04*C6</f>
        <v>99.221599999999995</v>
      </c>
      <c r="D22" s="33">
        <f>0.04*D6</f>
        <v>99.221599999999995</v>
      </c>
      <c r="F22" s="32" t="s">
        <v>59</v>
      </c>
      <c r="G22" s="6">
        <v>0</v>
      </c>
      <c r="H22" s="21"/>
      <c r="I22" s="21"/>
      <c r="J22" s="60"/>
      <c r="T22" s="70">
        <v>42476</v>
      </c>
      <c r="U22" t="s">
        <v>179</v>
      </c>
      <c r="V22" s="100">
        <v>7.85</v>
      </c>
    </row>
    <row r="23" spans="2:26" x14ac:dyDescent="0.2">
      <c r="B23" s="42" t="s">
        <v>45</v>
      </c>
      <c r="C23" s="23">
        <f>SUM(C21:C22)</f>
        <v>248.05399999999997</v>
      </c>
      <c r="D23" s="49">
        <f>SUM(D21:D22)</f>
        <v>248.05399999999997</v>
      </c>
      <c r="F23" s="32" t="s">
        <v>60</v>
      </c>
      <c r="G23" s="6">
        <v>5.4</v>
      </c>
      <c r="H23" s="21"/>
      <c r="I23" s="21"/>
      <c r="J23" s="60"/>
      <c r="T23" s="70">
        <v>42478</v>
      </c>
      <c r="U23" t="s">
        <v>241</v>
      </c>
      <c r="V23" s="20">
        <v>15.53</v>
      </c>
    </row>
    <row r="24" spans="2:26" ht="16" thickBot="1" x14ac:dyDescent="0.25">
      <c r="B24" s="32"/>
      <c r="C24" s="50">
        <f>C23/C6</f>
        <v>9.9999999999999992E-2</v>
      </c>
      <c r="D24" s="51">
        <f>D23/D6</f>
        <v>9.9999999999999992E-2</v>
      </c>
      <c r="F24" s="36" t="s">
        <v>95</v>
      </c>
      <c r="G24" s="103">
        <v>8.65</v>
      </c>
      <c r="H24" s="21"/>
      <c r="I24" s="21"/>
      <c r="J24" s="60"/>
      <c r="T24" s="70">
        <v>42482</v>
      </c>
      <c r="U24" t="s">
        <v>242</v>
      </c>
      <c r="V24" s="20">
        <v>14.52</v>
      </c>
    </row>
    <row r="25" spans="2:26" ht="16" thickBot="1" x14ac:dyDescent="0.25">
      <c r="B25" s="32"/>
      <c r="C25" s="21"/>
      <c r="D25" s="52">
        <f>SUM(C23:D23)</f>
        <v>496.10799999999995</v>
      </c>
      <c r="F25" s="66" t="s">
        <v>65</v>
      </c>
      <c r="G25" s="54">
        <f>SUM(G18:G24)</f>
        <v>936.34999999999991</v>
      </c>
      <c r="H25" s="21"/>
      <c r="I25" s="21"/>
      <c r="J25" s="60"/>
      <c r="T25" s="70">
        <v>42484</v>
      </c>
      <c r="U25" t="s">
        <v>156</v>
      </c>
      <c r="V25" s="100">
        <v>5.73</v>
      </c>
    </row>
    <row r="26" spans="2:26" x14ac:dyDescent="0.2">
      <c r="B26" s="36"/>
      <c r="C26" s="19"/>
      <c r="D26" s="53">
        <f>D25/SUM(C6:D6)</f>
        <v>9.9999999999999992E-2</v>
      </c>
      <c r="F26" s="107" t="s">
        <v>64</v>
      </c>
      <c r="G26" s="108">
        <f>SUM(G8,G15,G25)</f>
        <v>1716.9519999999998</v>
      </c>
      <c r="H26" s="19"/>
      <c r="I26" s="19"/>
      <c r="J26" s="67"/>
    </row>
    <row r="27" spans="2:26" ht="16" thickBot="1" x14ac:dyDescent="0.25"/>
    <row r="28" spans="2:26" ht="16" thickBot="1" x14ac:dyDescent="0.25">
      <c r="B28" s="25" t="s">
        <v>46</v>
      </c>
      <c r="C28" s="26">
        <f>C8-C15-C23</f>
        <v>1688.4459999999999</v>
      </c>
      <c r="D28" s="27">
        <f>D8-D15-D23</f>
        <v>1689.2159999999999</v>
      </c>
      <c r="I28" s="25" t="s">
        <v>74</v>
      </c>
      <c r="J28" s="68">
        <f>G5-J21</f>
        <v>18767.020000000004</v>
      </c>
    </row>
    <row r="29" spans="2:26" ht="16" thickBot="1" x14ac:dyDescent="0.25">
      <c r="D29" s="28">
        <f>SUM(C28:D28)</f>
        <v>3377.6619999999998</v>
      </c>
    </row>
    <row r="30" spans="2:26" x14ac:dyDescent="0.2">
      <c r="I30" t="s">
        <v>100</v>
      </c>
      <c r="J30" s="20">
        <f>J28-G2</f>
        <v>605.19000000000233</v>
      </c>
    </row>
    <row r="32" spans="2:26" x14ac:dyDescent="0.2">
      <c r="I32" t="s">
        <v>102</v>
      </c>
      <c r="J32" s="20"/>
    </row>
    <row r="33" spans="9:10" x14ac:dyDescent="0.2">
      <c r="I33" t="s">
        <v>250</v>
      </c>
      <c r="J33" s="20">
        <v>8.07</v>
      </c>
    </row>
    <row r="34" spans="9:10" x14ac:dyDescent="0.2">
      <c r="I34" t="s">
        <v>255</v>
      </c>
      <c r="J34" s="20">
        <v>45.96</v>
      </c>
    </row>
    <row r="35" spans="9:10" x14ac:dyDescent="0.2">
      <c r="I35" t="s">
        <v>256</v>
      </c>
      <c r="J35" s="20">
        <v>689.32</v>
      </c>
    </row>
    <row r="36" spans="9:10" x14ac:dyDescent="0.2">
      <c r="I36" t="s">
        <v>257</v>
      </c>
      <c r="J36" s="100">
        <v>-345</v>
      </c>
    </row>
  </sheetData>
  <mergeCells count="19">
    <mergeCell ref="AF4:AG4"/>
    <mergeCell ref="L4:M4"/>
    <mergeCell ref="P4:Q4"/>
    <mergeCell ref="T4:U4"/>
    <mergeCell ref="X4:Y4"/>
    <mergeCell ref="AB4:AC4"/>
    <mergeCell ref="AF7:AG7"/>
    <mergeCell ref="L8:M8"/>
    <mergeCell ref="P8:Q8"/>
    <mergeCell ref="T8:U8"/>
    <mergeCell ref="X8:Y8"/>
    <mergeCell ref="AB8:AC8"/>
    <mergeCell ref="AF8:AG8"/>
    <mergeCell ref="AB7:AC7"/>
    <mergeCell ref="L6:M6"/>
    <mergeCell ref="L7:M7"/>
    <mergeCell ref="P7:Q7"/>
    <mergeCell ref="T7:U7"/>
    <mergeCell ref="X7:Y7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H37"/>
  <sheetViews>
    <sheetView zoomScale="90" zoomScaleNormal="90" zoomScalePageLayoutView="90" workbookViewId="0">
      <selection activeCell="M26" sqref="M26"/>
    </sheetView>
  </sheetViews>
  <sheetFormatPr baseColWidth="10" defaultColWidth="8.83203125" defaultRowHeight="15" x14ac:dyDescent="0.2"/>
  <cols>
    <col min="1" max="1" width="1.83203125" customWidth="1"/>
    <col min="2" max="2" width="24.5" bestFit="1" customWidth="1"/>
    <col min="3" max="4" width="14.6640625" customWidth="1"/>
    <col min="5" max="5" width="3.6640625" customWidth="1"/>
    <col min="6" max="6" width="25.83203125" bestFit="1" customWidth="1"/>
    <col min="7" max="7" width="14.6640625" style="3" customWidth="1"/>
    <col min="8" max="8" width="3.5" customWidth="1"/>
    <col min="9" max="9" width="25.5" bestFit="1" customWidth="1"/>
    <col min="10" max="10" width="12.1640625" bestFit="1" customWidth="1"/>
    <col min="11" max="11" width="3.6640625" customWidth="1"/>
    <col min="12" max="12" width="11.5" style="70" customWidth="1"/>
    <col min="13" max="13" width="12" bestFit="1" customWidth="1"/>
    <col min="14" max="14" width="8.83203125" style="20"/>
    <col min="15" max="15" width="2.6640625" customWidth="1"/>
    <col min="16" max="16" width="11.5" style="70" customWidth="1"/>
    <col min="17" max="17" width="11.33203125" bestFit="1" customWidth="1"/>
    <col min="18" max="18" width="8.83203125" style="20"/>
    <col min="19" max="19" width="2.6640625" customWidth="1"/>
    <col min="20" max="20" width="11.5" style="70" customWidth="1"/>
    <col min="21" max="21" width="17.6640625" bestFit="1" customWidth="1"/>
    <col min="22" max="22" width="10.1640625" style="20" bestFit="1" customWidth="1"/>
    <col min="23" max="23" width="2.6640625" customWidth="1"/>
    <col min="24" max="24" width="11.5" style="70" customWidth="1"/>
    <col min="25" max="25" width="16.33203125" bestFit="1" customWidth="1"/>
    <col min="26" max="26" width="8.83203125" style="20"/>
    <col min="27" max="27" width="2.6640625" customWidth="1"/>
    <col min="28" max="28" width="11.5" style="70" customWidth="1"/>
    <col min="29" max="29" width="20.33203125" bestFit="1" customWidth="1"/>
    <col min="30" max="30" width="8.83203125" style="20"/>
    <col min="31" max="31" width="2.6640625" customWidth="1"/>
    <col min="32" max="32" width="11.5" style="70" customWidth="1"/>
    <col min="33" max="33" width="25" bestFit="1" customWidth="1"/>
    <col min="34" max="34" width="8.83203125" style="20"/>
  </cols>
  <sheetData>
    <row r="1" spans="2:34" ht="10.5" customHeight="1" thickBot="1" x14ac:dyDescent="0.25"/>
    <row r="2" spans="2:34" ht="16" thickBot="1" x14ac:dyDescent="0.25">
      <c r="B2" s="16" t="s">
        <v>7</v>
      </c>
      <c r="F2" t="s">
        <v>47</v>
      </c>
      <c r="G2" s="3">
        <f>Apr!J28</f>
        <v>18767.020000000004</v>
      </c>
      <c r="I2" s="20"/>
    </row>
    <row r="3" spans="2:34" x14ac:dyDescent="0.2">
      <c r="B3" s="21" t="s">
        <v>38</v>
      </c>
      <c r="C3" s="20">
        <f>C6*24</f>
        <v>59532.959999999999</v>
      </c>
      <c r="F3" s="105" t="s">
        <v>46</v>
      </c>
      <c r="G3" s="15">
        <f>D29</f>
        <v>3377.652</v>
      </c>
    </row>
    <row r="4" spans="2:34" x14ac:dyDescent="0.2">
      <c r="F4" t="s">
        <v>48</v>
      </c>
      <c r="G4" s="115">
        <f>-811-166+180+519.04</f>
        <v>-277.96000000000004</v>
      </c>
      <c r="I4" t="s">
        <v>112</v>
      </c>
      <c r="J4" s="20">
        <f>SUM(N4,R4,V4,Z4,AD4,AH4)</f>
        <v>-65.710000000000036</v>
      </c>
      <c r="L4" s="134" t="s">
        <v>105</v>
      </c>
      <c r="M4" s="134"/>
      <c r="N4" s="20">
        <f>150-N8</f>
        <v>50.239999999999995</v>
      </c>
      <c r="P4" s="134" t="s">
        <v>106</v>
      </c>
      <c r="Q4" s="134"/>
      <c r="R4" s="20">
        <f>100-R8</f>
        <v>-20.099999999999994</v>
      </c>
      <c r="T4" s="134" t="s">
        <v>107</v>
      </c>
      <c r="U4" s="134"/>
      <c r="V4" s="20">
        <f>200-V8</f>
        <v>11.120000000000005</v>
      </c>
      <c r="X4" s="134" t="s">
        <v>108</v>
      </c>
      <c r="Y4" s="134"/>
      <c r="Z4" s="20">
        <f>100-Z8</f>
        <v>-7.8299999999999983</v>
      </c>
      <c r="AB4" s="134" t="s">
        <v>109</v>
      </c>
      <c r="AC4" s="134"/>
      <c r="AD4" s="20">
        <f>100-AD8</f>
        <v>-54.180000000000007</v>
      </c>
      <c r="AF4" s="134" t="s">
        <v>110</v>
      </c>
      <c r="AG4" s="134"/>
      <c r="AH4" s="20">
        <f>300-AH8</f>
        <v>-44.960000000000036</v>
      </c>
    </row>
    <row r="5" spans="2:34" ht="16" thickBot="1" x14ac:dyDescent="0.25">
      <c r="B5" s="29" t="s">
        <v>15</v>
      </c>
      <c r="C5" s="30" t="s">
        <v>31</v>
      </c>
      <c r="D5" s="31" t="s">
        <v>32</v>
      </c>
      <c r="F5" s="105" t="s">
        <v>49</v>
      </c>
      <c r="G5" s="15">
        <f>SUM(G2:G4)</f>
        <v>21866.712000000007</v>
      </c>
    </row>
    <row r="6" spans="2:34" ht="16" thickBot="1" x14ac:dyDescent="0.25">
      <c r="B6" s="32" t="s">
        <v>33</v>
      </c>
      <c r="C6" s="103">
        <v>2480.54</v>
      </c>
      <c r="D6" s="33">
        <v>2480.54</v>
      </c>
      <c r="L6" s="130" t="s">
        <v>77</v>
      </c>
      <c r="M6" s="130"/>
      <c r="N6" s="72"/>
      <c r="O6" s="17"/>
      <c r="P6" s="73"/>
      <c r="Q6" s="17"/>
      <c r="R6" s="72"/>
      <c r="S6" s="17"/>
      <c r="T6" s="73"/>
      <c r="U6" s="17"/>
      <c r="V6" s="72"/>
      <c r="W6" s="17"/>
      <c r="X6" s="73"/>
      <c r="Y6" s="17"/>
      <c r="Z6" s="72"/>
      <c r="AA6" s="17"/>
      <c r="AB6" s="73"/>
      <c r="AC6" s="17"/>
      <c r="AD6" s="72"/>
      <c r="AE6" s="17"/>
      <c r="AF6" s="73"/>
      <c r="AG6" s="17"/>
      <c r="AH6" s="72"/>
    </row>
    <row r="7" spans="2:34" ht="16" thickBot="1" x14ac:dyDescent="0.25">
      <c r="B7" s="32" t="s">
        <v>34</v>
      </c>
      <c r="C7" s="6">
        <v>0</v>
      </c>
      <c r="D7" s="33">
        <v>0</v>
      </c>
      <c r="F7" s="57" t="s">
        <v>50</v>
      </c>
      <c r="G7" s="58"/>
      <c r="H7" s="38"/>
      <c r="I7" s="38"/>
      <c r="J7" s="39"/>
      <c r="L7" s="131" t="s">
        <v>62</v>
      </c>
      <c r="M7" s="131"/>
      <c r="P7" s="132" t="s">
        <v>61</v>
      </c>
      <c r="Q7" s="132"/>
      <c r="T7" s="132" t="s">
        <v>68</v>
      </c>
      <c r="U7" s="132"/>
      <c r="X7" s="132" t="s">
        <v>69</v>
      </c>
      <c r="Y7" s="132"/>
      <c r="AB7" s="132" t="s">
        <v>81</v>
      </c>
      <c r="AC7" s="132"/>
      <c r="AF7" s="132" t="s">
        <v>111</v>
      </c>
      <c r="AG7" s="132"/>
    </row>
    <row r="8" spans="2:34" ht="16" thickBot="1" x14ac:dyDescent="0.25">
      <c r="B8" s="34" t="s">
        <v>66</v>
      </c>
      <c r="C8" s="18">
        <f>C6+C7</f>
        <v>2480.54</v>
      </c>
      <c r="D8" s="35">
        <f>D6+D7</f>
        <v>2480.54</v>
      </c>
      <c r="F8" s="59" t="s">
        <v>90</v>
      </c>
      <c r="G8" s="104">
        <v>700</v>
      </c>
      <c r="H8" s="21"/>
      <c r="I8" s="21"/>
      <c r="J8" s="60"/>
      <c r="L8" s="133" t="s">
        <v>82</v>
      </c>
      <c r="M8" s="133"/>
      <c r="N8" s="71">
        <f>SUM(N10:N50)</f>
        <v>99.76</v>
      </c>
      <c r="P8" s="133" t="s">
        <v>82</v>
      </c>
      <c r="Q8" s="133"/>
      <c r="R8" s="71">
        <f>SUM(R10:R50)</f>
        <v>120.1</v>
      </c>
      <c r="T8" s="133" t="s">
        <v>82</v>
      </c>
      <c r="U8" s="133"/>
      <c r="V8" s="71">
        <f>SUM(V10:V50)</f>
        <v>188.88</v>
      </c>
      <c r="X8" s="133" t="s">
        <v>82</v>
      </c>
      <c r="Y8" s="133"/>
      <c r="Z8" s="71">
        <f>SUM(Z10:Z50)</f>
        <v>107.83</v>
      </c>
      <c r="AB8" s="133" t="s">
        <v>82</v>
      </c>
      <c r="AC8" s="133"/>
      <c r="AD8" s="71">
        <f>SUM(AD10:AD50)</f>
        <v>154.18</v>
      </c>
      <c r="AF8" s="133" t="s">
        <v>82</v>
      </c>
      <c r="AG8" s="133"/>
      <c r="AH8" s="71">
        <f>SUM(AH10:AH50)</f>
        <v>344.96000000000004</v>
      </c>
    </row>
    <row r="9" spans="2:34" x14ac:dyDescent="0.2">
      <c r="B9" s="36"/>
      <c r="C9" s="19"/>
      <c r="D9" s="37">
        <f>SUM(C8:D8)</f>
        <v>4961.08</v>
      </c>
      <c r="F9" s="32"/>
      <c r="G9" s="6"/>
      <c r="H9" s="21"/>
      <c r="I9" s="21"/>
      <c r="J9" s="60"/>
      <c r="L9" s="74" t="s">
        <v>78</v>
      </c>
      <c r="M9" s="19" t="s">
        <v>79</v>
      </c>
      <c r="N9" s="75" t="s">
        <v>80</v>
      </c>
      <c r="P9" s="74" t="s">
        <v>78</v>
      </c>
      <c r="Q9" s="19" t="s">
        <v>79</v>
      </c>
      <c r="R9" s="75" t="s">
        <v>80</v>
      </c>
      <c r="T9" s="74" t="s">
        <v>78</v>
      </c>
      <c r="U9" s="19" t="s">
        <v>79</v>
      </c>
      <c r="V9" s="75" t="s">
        <v>80</v>
      </c>
      <c r="X9" s="74" t="s">
        <v>78</v>
      </c>
      <c r="Y9" s="19" t="s">
        <v>79</v>
      </c>
      <c r="Z9" s="75" t="s">
        <v>80</v>
      </c>
      <c r="AB9" s="74" t="s">
        <v>78</v>
      </c>
      <c r="AC9" s="19" t="s">
        <v>79</v>
      </c>
      <c r="AD9" s="75" t="s">
        <v>80</v>
      </c>
      <c r="AF9" s="74" t="s">
        <v>78</v>
      </c>
      <c r="AG9" s="19" t="s">
        <v>79</v>
      </c>
      <c r="AH9" s="75" t="s">
        <v>80</v>
      </c>
    </row>
    <row r="10" spans="2:34" ht="16" thickBot="1" x14ac:dyDescent="0.25">
      <c r="F10" s="61" t="s">
        <v>51</v>
      </c>
      <c r="G10" s="6"/>
      <c r="H10" s="21"/>
      <c r="I10" s="17" t="s">
        <v>67</v>
      </c>
      <c r="J10" s="60"/>
      <c r="L10" s="70">
        <v>42504</v>
      </c>
      <c r="M10" t="s">
        <v>264</v>
      </c>
      <c r="N10" s="100">
        <v>20</v>
      </c>
      <c r="P10" s="70">
        <v>42491</v>
      </c>
      <c r="Q10" t="s">
        <v>119</v>
      </c>
      <c r="R10" s="100">
        <v>6.79</v>
      </c>
      <c r="T10" s="70">
        <v>42492</v>
      </c>
      <c r="U10" t="s">
        <v>141</v>
      </c>
      <c r="V10" s="100">
        <v>7.09</v>
      </c>
      <c r="X10" s="70">
        <v>42491</v>
      </c>
      <c r="Y10" t="s">
        <v>155</v>
      </c>
      <c r="Z10" s="20">
        <v>22.49</v>
      </c>
      <c r="AB10" s="70">
        <v>42500</v>
      </c>
      <c r="AC10" t="s">
        <v>260</v>
      </c>
      <c r="AD10" s="100">
        <v>20</v>
      </c>
      <c r="AF10" s="70">
        <v>42493</v>
      </c>
      <c r="AG10" t="s">
        <v>244</v>
      </c>
      <c r="AH10" s="100">
        <v>37.270000000000003</v>
      </c>
    </row>
    <row r="11" spans="2:34" ht="16" thickBot="1" x14ac:dyDescent="0.25">
      <c r="B11" s="29" t="s">
        <v>41</v>
      </c>
      <c r="C11" s="38"/>
      <c r="D11" s="39"/>
      <c r="F11" s="62" t="s">
        <v>52</v>
      </c>
      <c r="G11" s="6">
        <f>103.54/5</f>
        <v>20.708000000000002</v>
      </c>
      <c r="H11" s="21"/>
      <c r="I11" s="21" t="s">
        <v>62</v>
      </c>
      <c r="J11" s="33">
        <f>N8</f>
        <v>99.76</v>
      </c>
      <c r="L11" s="70">
        <v>42513</v>
      </c>
      <c r="M11" t="s">
        <v>133</v>
      </c>
      <c r="N11" s="100">
        <f>41.25-20</f>
        <v>21.25</v>
      </c>
      <c r="P11" s="70">
        <v>42491</v>
      </c>
      <c r="Q11" t="s">
        <v>119</v>
      </c>
      <c r="R11" s="20">
        <v>19.079999999999998</v>
      </c>
      <c r="T11" s="70">
        <v>42494</v>
      </c>
      <c r="U11" t="s">
        <v>143</v>
      </c>
      <c r="V11" s="100">
        <v>20</v>
      </c>
      <c r="X11" s="70">
        <v>42491</v>
      </c>
      <c r="Y11" t="s">
        <v>246</v>
      </c>
      <c r="Z11" s="100">
        <v>27.06</v>
      </c>
      <c r="AB11" s="70">
        <v>42504</v>
      </c>
      <c r="AC11" t="s">
        <v>263</v>
      </c>
      <c r="AD11" s="20">
        <v>10</v>
      </c>
      <c r="AF11" s="70">
        <v>42493</v>
      </c>
      <c r="AG11" t="s">
        <v>245</v>
      </c>
      <c r="AH11" s="100">
        <v>2.17</v>
      </c>
    </row>
    <row r="12" spans="2:34" x14ac:dyDescent="0.2">
      <c r="B12" s="40" t="s">
        <v>37</v>
      </c>
      <c r="C12" s="41">
        <v>354.1</v>
      </c>
      <c r="D12" s="41">
        <v>353.51</v>
      </c>
      <c r="F12" s="62" t="s">
        <v>53</v>
      </c>
      <c r="G12" s="6">
        <f>+(54.78+74.77)/5</f>
        <v>25.910000000000004</v>
      </c>
      <c r="H12" s="21"/>
      <c r="I12" s="21" t="s">
        <v>61</v>
      </c>
      <c r="J12" s="33">
        <f>R8</f>
        <v>120.1</v>
      </c>
      <c r="L12" s="70">
        <v>42515</v>
      </c>
      <c r="M12" t="s">
        <v>119</v>
      </c>
      <c r="N12" s="100">
        <v>34.520000000000003</v>
      </c>
      <c r="P12" s="70">
        <v>42493</v>
      </c>
      <c r="Q12" t="s">
        <v>119</v>
      </c>
      <c r="R12" s="100">
        <v>5.97</v>
      </c>
      <c r="T12" s="70">
        <v>42495</v>
      </c>
      <c r="U12" t="s">
        <v>247</v>
      </c>
      <c r="V12" s="20">
        <v>8.9499999999999993</v>
      </c>
      <c r="X12" s="70">
        <v>42495</v>
      </c>
      <c r="Y12" t="s">
        <v>146</v>
      </c>
      <c r="Z12" s="100">
        <v>43.28</v>
      </c>
      <c r="AB12" s="70">
        <v>42509</v>
      </c>
      <c r="AC12" t="s">
        <v>274</v>
      </c>
      <c r="AD12" s="20">
        <v>2.5</v>
      </c>
      <c r="AF12" s="70">
        <v>42497</v>
      </c>
      <c r="AG12" t="s">
        <v>258</v>
      </c>
      <c r="AH12" s="20">
        <v>1.62</v>
      </c>
    </row>
    <row r="13" spans="2:34" x14ac:dyDescent="0.2">
      <c r="B13" s="40" t="s">
        <v>35</v>
      </c>
      <c r="C13" s="41">
        <v>153.94</v>
      </c>
      <c r="D13" s="41">
        <v>153.80000000000001</v>
      </c>
      <c r="F13" s="62" t="s">
        <v>54</v>
      </c>
      <c r="G13" s="6">
        <v>20.18</v>
      </c>
      <c r="H13" s="21"/>
      <c r="I13" s="21" t="s">
        <v>68</v>
      </c>
      <c r="J13" s="33">
        <f>V8</f>
        <v>188.88</v>
      </c>
      <c r="L13" s="70">
        <v>42518</v>
      </c>
      <c r="M13" t="s">
        <v>264</v>
      </c>
      <c r="N13" s="20">
        <v>23.99</v>
      </c>
      <c r="P13" s="70">
        <v>42495</v>
      </c>
      <c r="Q13" t="s">
        <v>119</v>
      </c>
      <c r="R13" s="20">
        <v>8.65</v>
      </c>
      <c r="T13" s="70">
        <v>42500</v>
      </c>
      <c r="U13" t="s">
        <v>259</v>
      </c>
      <c r="V13" s="100">
        <v>15.13</v>
      </c>
      <c r="X13" s="70">
        <v>42505</v>
      </c>
      <c r="Y13" t="s">
        <v>265</v>
      </c>
      <c r="Z13" s="20">
        <v>15</v>
      </c>
      <c r="AB13" s="70">
        <v>42513</v>
      </c>
      <c r="AC13" t="s">
        <v>271</v>
      </c>
      <c r="AD13" s="100">
        <v>57.34</v>
      </c>
      <c r="AF13" s="70">
        <v>42506</v>
      </c>
      <c r="AG13" t="s">
        <v>277</v>
      </c>
      <c r="AH13" s="20">
        <v>150</v>
      </c>
    </row>
    <row r="14" spans="2:34" x14ac:dyDescent="0.2">
      <c r="B14" s="40" t="s">
        <v>36</v>
      </c>
      <c r="C14" s="41">
        <v>36</v>
      </c>
      <c r="D14" s="41">
        <v>35.97</v>
      </c>
      <c r="F14" s="62" t="s">
        <v>55</v>
      </c>
      <c r="G14" s="103">
        <v>30</v>
      </c>
      <c r="H14" s="21"/>
      <c r="I14" s="21" t="s">
        <v>69</v>
      </c>
      <c r="J14" s="33">
        <f>Z8</f>
        <v>107.83</v>
      </c>
      <c r="P14" s="70">
        <v>42496</v>
      </c>
      <c r="Q14" t="s">
        <v>119</v>
      </c>
      <c r="R14" s="20">
        <v>14.34</v>
      </c>
      <c r="T14" s="70">
        <v>42502</v>
      </c>
      <c r="U14" t="s">
        <v>261</v>
      </c>
      <c r="V14" s="100">
        <v>7.57</v>
      </c>
      <c r="Z14" s="100"/>
      <c r="AB14" s="70">
        <v>42513</v>
      </c>
      <c r="AC14" t="s">
        <v>272</v>
      </c>
      <c r="AD14" s="100">
        <v>15.34</v>
      </c>
      <c r="AF14" s="70">
        <v>42509</v>
      </c>
      <c r="AG14" t="s">
        <v>267</v>
      </c>
      <c r="AH14" s="20">
        <v>28</v>
      </c>
    </row>
    <row r="15" spans="2:34" x14ac:dyDescent="0.2">
      <c r="B15" s="42" t="s">
        <v>39</v>
      </c>
      <c r="C15" s="22">
        <f>SUM(C12:C14)</f>
        <v>544.04</v>
      </c>
      <c r="D15" s="43">
        <f>SUM(D12:D14)</f>
        <v>543.28</v>
      </c>
      <c r="F15" s="63" t="s">
        <v>56</v>
      </c>
      <c r="G15" s="104">
        <f>SUM(G11:G14)</f>
        <v>96.798000000000002</v>
      </c>
      <c r="H15" s="21"/>
      <c r="I15" s="21" t="s">
        <v>70</v>
      </c>
      <c r="J15" s="33">
        <f>AD8</f>
        <v>154.18</v>
      </c>
      <c r="P15" s="70">
        <v>42497</v>
      </c>
      <c r="Q15" t="s">
        <v>119</v>
      </c>
      <c r="R15" s="20">
        <v>4.7</v>
      </c>
      <c r="T15" s="70">
        <v>42504</v>
      </c>
      <c r="U15" t="s">
        <v>141</v>
      </c>
      <c r="V15" s="100">
        <v>19.91</v>
      </c>
      <c r="Z15" s="100"/>
      <c r="AB15" s="70">
        <v>42514</v>
      </c>
      <c r="AC15" t="s">
        <v>275</v>
      </c>
      <c r="AD15" s="20">
        <f>64.94-30</f>
        <v>34.94</v>
      </c>
      <c r="AF15" s="70">
        <v>42510</v>
      </c>
      <c r="AG15" t="s">
        <v>262</v>
      </c>
      <c r="AH15" s="100">
        <v>40</v>
      </c>
    </row>
    <row r="16" spans="2:34" ht="16" thickBot="1" x14ac:dyDescent="0.25">
      <c r="B16" s="40" t="s">
        <v>40</v>
      </c>
      <c r="C16" s="24">
        <f>C15/C8</f>
        <v>0.2193232118812839</v>
      </c>
      <c r="D16" s="44">
        <f>D15/D8</f>
        <v>0.21901682698122182</v>
      </c>
      <c r="F16" s="32"/>
      <c r="G16" s="6"/>
      <c r="H16" s="21"/>
      <c r="I16" s="21" t="s">
        <v>71</v>
      </c>
      <c r="J16" s="33">
        <f>AH8</f>
        <v>344.96000000000004</v>
      </c>
      <c r="P16" s="70">
        <v>42504</v>
      </c>
      <c r="Q16" t="s">
        <v>119</v>
      </c>
      <c r="R16" s="20">
        <v>22.97</v>
      </c>
      <c r="T16" s="70">
        <v>42505</v>
      </c>
      <c r="U16" t="s">
        <v>261</v>
      </c>
      <c r="V16" s="100">
        <v>7.55</v>
      </c>
      <c r="AB16" s="70">
        <v>42517</v>
      </c>
      <c r="AC16" t="s">
        <v>278</v>
      </c>
      <c r="AD16" s="20">
        <v>14.06</v>
      </c>
      <c r="AF16" s="70">
        <v>42510</v>
      </c>
      <c r="AG16" t="s">
        <v>266</v>
      </c>
      <c r="AH16" s="20">
        <v>26.25</v>
      </c>
    </row>
    <row r="17" spans="2:34" ht="16" thickBot="1" x14ac:dyDescent="0.25">
      <c r="B17" s="40"/>
      <c r="C17" s="24"/>
      <c r="D17" s="45">
        <f>SUM(C15:D15)</f>
        <v>1087.32</v>
      </c>
      <c r="F17" s="65" t="s">
        <v>63</v>
      </c>
      <c r="G17" s="6"/>
      <c r="H17" s="21"/>
      <c r="I17" s="77" t="s">
        <v>94</v>
      </c>
      <c r="J17" s="33">
        <f>3.04+0.03</f>
        <v>3.07</v>
      </c>
      <c r="P17" s="70">
        <v>42512</v>
      </c>
      <c r="Q17" t="s">
        <v>119</v>
      </c>
      <c r="R17" s="100">
        <v>2.36</v>
      </c>
      <c r="T17" s="70">
        <v>42510</v>
      </c>
      <c r="U17" t="s">
        <v>268</v>
      </c>
      <c r="V17" s="20">
        <v>15.72</v>
      </c>
      <c r="AF17" s="70">
        <v>42512</v>
      </c>
      <c r="AG17" t="s">
        <v>269</v>
      </c>
      <c r="AH17" s="100">
        <v>4.33</v>
      </c>
    </row>
    <row r="18" spans="2:34" x14ac:dyDescent="0.2">
      <c r="B18" s="46"/>
      <c r="C18" s="47"/>
      <c r="D18" s="48">
        <f>D17/D9</f>
        <v>0.21917001943125286</v>
      </c>
      <c r="F18" s="32" t="s">
        <v>101</v>
      </c>
      <c r="G18" s="6">
        <v>497.3</v>
      </c>
      <c r="H18" s="21"/>
      <c r="I18" s="77" t="s">
        <v>102</v>
      </c>
      <c r="J18" s="33">
        <f>SUM(J33:J37)</f>
        <v>582.76</v>
      </c>
      <c r="P18" s="70">
        <v>42516</v>
      </c>
      <c r="Q18" t="s">
        <v>119</v>
      </c>
      <c r="R18" s="100">
        <v>9.06</v>
      </c>
      <c r="T18" s="70">
        <v>42513</v>
      </c>
      <c r="U18" t="s">
        <v>141</v>
      </c>
      <c r="V18" s="100">
        <v>13.68</v>
      </c>
      <c r="Z18" s="100"/>
      <c r="AF18" s="70">
        <v>42513</v>
      </c>
      <c r="AG18" t="s">
        <v>273</v>
      </c>
      <c r="AH18" s="100">
        <v>9.98</v>
      </c>
    </row>
    <row r="19" spans="2:34" x14ac:dyDescent="0.2">
      <c r="F19" s="32" t="s">
        <v>57</v>
      </c>
      <c r="G19" s="6">
        <v>300</v>
      </c>
      <c r="H19" s="21"/>
      <c r="I19" s="55" t="s">
        <v>72</v>
      </c>
      <c r="J19" s="64">
        <f>SUM(J11:J18)</f>
        <v>1601.54</v>
      </c>
      <c r="P19" s="70">
        <v>42520</v>
      </c>
      <c r="Q19" t="s">
        <v>119</v>
      </c>
      <c r="R19" s="100">
        <v>26.18</v>
      </c>
      <c r="T19" s="70">
        <v>42514</v>
      </c>
      <c r="U19" t="s">
        <v>279</v>
      </c>
      <c r="V19" s="20">
        <v>1.5</v>
      </c>
      <c r="AF19" s="70">
        <v>42515</v>
      </c>
      <c r="AG19" t="s">
        <v>276</v>
      </c>
      <c r="AH19" s="100">
        <v>10.83</v>
      </c>
    </row>
    <row r="20" spans="2:34" ht="16" thickBot="1" x14ac:dyDescent="0.25">
      <c r="B20" s="29" t="s">
        <v>42</v>
      </c>
      <c r="C20" s="38"/>
      <c r="D20" s="39"/>
      <c r="F20" s="32" t="s">
        <v>58</v>
      </c>
      <c r="G20" s="6">
        <v>55</v>
      </c>
      <c r="H20" s="21"/>
      <c r="I20" s="21"/>
      <c r="J20" s="33"/>
      <c r="T20" s="70">
        <v>42515</v>
      </c>
      <c r="U20" t="s">
        <v>116</v>
      </c>
      <c r="V20" s="100">
        <v>12.34</v>
      </c>
      <c r="AF20" s="70">
        <v>42518</v>
      </c>
      <c r="AG20" t="s">
        <v>134</v>
      </c>
      <c r="AH20" s="20">
        <v>4.8499999999999996</v>
      </c>
    </row>
    <row r="21" spans="2:34" ht="16" thickBot="1" x14ac:dyDescent="0.25">
      <c r="B21" s="40" t="s">
        <v>43</v>
      </c>
      <c r="C21" s="33">
        <f>0.06*C6</f>
        <v>148.83239999999998</v>
      </c>
      <c r="D21" s="33">
        <f>0.06*D6</f>
        <v>148.83239999999998</v>
      </c>
      <c r="F21" s="32" t="s">
        <v>91</v>
      </c>
      <c r="G21" s="6">
        <v>80</v>
      </c>
      <c r="H21" s="21"/>
      <c r="I21" s="56" t="s">
        <v>73</v>
      </c>
      <c r="J21" s="106">
        <f>SUM(G26,J19)</f>
        <v>3344.6880000000001</v>
      </c>
      <c r="T21" s="70">
        <v>42518</v>
      </c>
      <c r="U21" t="s">
        <v>199</v>
      </c>
      <c r="V21" s="100">
        <v>33.119999999999997</v>
      </c>
      <c r="AF21" s="70">
        <v>42521</v>
      </c>
      <c r="AG21" t="s">
        <v>282</v>
      </c>
      <c r="AH21" s="100">
        <f>18.5+7</f>
        <v>25.5</v>
      </c>
    </row>
    <row r="22" spans="2:34" x14ac:dyDescent="0.2">
      <c r="B22" s="40" t="s">
        <v>44</v>
      </c>
      <c r="C22" s="33">
        <f>0.04*C6</f>
        <v>99.221599999999995</v>
      </c>
      <c r="D22" s="33">
        <f>0.04*D6</f>
        <v>99.221599999999995</v>
      </c>
      <c r="F22" s="32" t="s">
        <v>59</v>
      </c>
      <c r="G22" s="6">
        <v>0</v>
      </c>
      <c r="H22" s="21"/>
      <c r="I22" s="21"/>
      <c r="J22" s="60"/>
      <c r="T22" s="70">
        <v>42519</v>
      </c>
      <c r="U22" t="s">
        <v>280</v>
      </c>
      <c r="V22" s="100">
        <v>4.68</v>
      </c>
      <c r="AF22" s="70">
        <v>42521</v>
      </c>
      <c r="AG22" t="s">
        <v>214</v>
      </c>
      <c r="AH22" s="100">
        <v>4.16</v>
      </c>
    </row>
    <row r="23" spans="2:34" x14ac:dyDescent="0.2">
      <c r="B23" s="42" t="s">
        <v>45</v>
      </c>
      <c r="C23" s="23">
        <f>SUM(C21:C22)</f>
        <v>248.05399999999997</v>
      </c>
      <c r="D23" s="49">
        <f>SUM(D21:D22)</f>
        <v>248.05399999999997</v>
      </c>
      <c r="F23" s="32" t="s">
        <v>60</v>
      </c>
      <c r="G23" s="6">
        <v>5.4</v>
      </c>
      <c r="H23" s="21"/>
      <c r="I23" s="21"/>
      <c r="J23" s="60"/>
      <c r="T23" s="70">
        <v>42519</v>
      </c>
      <c r="U23" t="s">
        <v>281</v>
      </c>
      <c r="V23" s="20">
        <v>14.07</v>
      </c>
    </row>
    <row r="24" spans="2:34" ht="16" thickBot="1" x14ac:dyDescent="0.25">
      <c r="B24" s="32"/>
      <c r="C24" s="50">
        <f>C23/C6</f>
        <v>9.9999999999999992E-2</v>
      </c>
      <c r="D24" s="51">
        <f>D23/D6</f>
        <v>9.9999999999999992E-2</v>
      </c>
      <c r="F24" s="36" t="s">
        <v>95</v>
      </c>
      <c r="G24" s="103">
        <v>8.65</v>
      </c>
      <c r="H24" s="21"/>
      <c r="I24" s="21"/>
      <c r="J24" s="60"/>
      <c r="T24" s="70">
        <v>42521</v>
      </c>
      <c r="U24" t="s">
        <v>168</v>
      </c>
      <c r="V24" s="100">
        <v>7.57</v>
      </c>
    </row>
    <row r="25" spans="2:34" ht="16" thickBot="1" x14ac:dyDescent="0.25">
      <c r="B25" s="32"/>
      <c r="C25" s="21"/>
      <c r="D25" s="52">
        <f>SUM(C23:D23)</f>
        <v>496.10799999999995</v>
      </c>
      <c r="F25" s="66" t="s">
        <v>65</v>
      </c>
      <c r="G25" s="54">
        <f>SUM(G18:G24)</f>
        <v>946.34999999999991</v>
      </c>
      <c r="H25" s="21"/>
      <c r="I25" s="21"/>
      <c r="J25" s="60"/>
    </row>
    <row r="26" spans="2:34" x14ac:dyDescent="0.2">
      <c r="B26" s="36"/>
      <c r="C26" s="19"/>
      <c r="D26" s="53">
        <f>D25/SUM(C6:D6)</f>
        <v>9.9999999999999992E-2</v>
      </c>
      <c r="F26" s="107" t="s">
        <v>64</v>
      </c>
      <c r="G26" s="108">
        <f>SUM(G8,G15,G25)</f>
        <v>1743.1479999999999</v>
      </c>
      <c r="H26" s="19"/>
      <c r="I26" s="19"/>
      <c r="J26" s="67"/>
    </row>
    <row r="27" spans="2:34" ht="16" thickBot="1" x14ac:dyDescent="0.25"/>
    <row r="28" spans="2:34" ht="16" thickBot="1" x14ac:dyDescent="0.25">
      <c r="B28" s="25" t="s">
        <v>46</v>
      </c>
      <c r="C28" s="26">
        <f>C8-C15-C23</f>
        <v>1688.4459999999999</v>
      </c>
      <c r="D28" s="27">
        <f>D8-D15-D23</f>
        <v>1689.2060000000001</v>
      </c>
      <c r="I28" s="25" t="s">
        <v>74</v>
      </c>
      <c r="J28" s="68">
        <f>G5-J21</f>
        <v>18522.024000000005</v>
      </c>
    </row>
    <row r="29" spans="2:34" ht="16" thickBot="1" x14ac:dyDescent="0.25">
      <c r="D29" s="28">
        <f>SUM(C28:D28)</f>
        <v>3377.652</v>
      </c>
    </row>
    <row r="30" spans="2:34" x14ac:dyDescent="0.2">
      <c r="I30" t="s">
        <v>100</v>
      </c>
      <c r="J30" s="20">
        <f>J28-G2</f>
        <v>-244.99599999999919</v>
      </c>
    </row>
    <row r="32" spans="2:34" x14ac:dyDescent="0.2">
      <c r="I32" t="s">
        <v>102</v>
      </c>
      <c r="J32" s="20"/>
    </row>
    <row r="33" spans="9:10" x14ac:dyDescent="0.2">
      <c r="I33" t="s">
        <v>248</v>
      </c>
      <c r="J33" s="20">
        <v>181.85</v>
      </c>
    </row>
    <row r="34" spans="9:10" x14ac:dyDescent="0.2">
      <c r="I34" t="s">
        <v>249</v>
      </c>
      <c r="J34" s="20">
        <v>255</v>
      </c>
    </row>
    <row r="35" spans="9:10" x14ac:dyDescent="0.2">
      <c r="I35" t="s">
        <v>250</v>
      </c>
      <c r="J35" s="20">
        <v>5.01</v>
      </c>
    </row>
    <row r="36" spans="9:10" x14ac:dyDescent="0.2">
      <c r="I36" t="s">
        <v>270</v>
      </c>
      <c r="J36" s="20">
        <f>290.9-150</f>
        <v>140.89999999999998</v>
      </c>
    </row>
    <row r="37" spans="9:10" x14ac:dyDescent="0.2">
      <c r="J37" s="20"/>
    </row>
  </sheetData>
  <mergeCells count="19">
    <mergeCell ref="AF4:AG4"/>
    <mergeCell ref="L4:M4"/>
    <mergeCell ref="P4:Q4"/>
    <mergeCell ref="T4:U4"/>
    <mergeCell ref="X4:Y4"/>
    <mergeCell ref="AB4:AC4"/>
    <mergeCell ref="AF7:AG7"/>
    <mergeCell ref="L8:M8"/>
    <mergeCell ref="P8:Q8"/>
    <mergeCell ref="T8:U8"/>
    <mergeCell ref="X8:Y8"/>
    <mergeCell ref="AB8:AC8"/>
    <mergeCell ref="AF8:AG8"/>
    <mergeCell ref="AB7:AC7"/>
    <mergeCell ref="L6:M6"/>
    <mergeCell ref="L7:M7"/>
    <mergeCell ref="P7:Q7"/>
    <mergeCell ref="T7:U7"/>
    <mergeCell ref="X7:Y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H37"/>
  <sheetViews>
    <sheetView zoomScale="90" zoomScaleNormal="90" zoomScalePageLayoutView="90" workbookViewId="0">
      <selection activeCell="L23" sqref="L23"/>
    </sheetView>
  </sheetViews>
  <sheetFormatPr baseColWidth="10" defaultColWidth="8.83203125" defaultRowHeight="15" x14ac:dyDescent="0.2"/>
  <cols>
    <col min="1" max="1" width="1.83203125" customWidth="1"/>
    <col min="2" max="2" width="24.5" bestFit="1" customWidth="1"/>
    <col min="3" max="4" width="14.6640625" customWidth="1"/>
    <col min="5" max="5" width="3.6640625" customWidth="1"/>
    <col min="6" max="6" width="25.83203125" bestFit="1" customWidth="1"/>
    <col min="7" max="7" width="14.6640625" style="3" customWidth="1"/>
    <col min="8" max="8" width="3.5" customWidth="1"/>
    <col min="9" max="9" width="25.5" bestFit="1" customWidth="1"/>
    <col min="10" max="10" width="12.1640625" bestFit="1" customWidth="1"/>
    <col min="11" max="11" width="3.6640625" customWidth="1"/>
    <col min="12" max="12" width="11.5" style="70" customWidth="1"/>
    <col min="13" max="13" width="12" bestFit="1" customWidth="1"/>
    <col min="14" max="14" width="8.83203125" style="20"/>
    <col min="15" max="15" width="2.6640625" customWidth="1"/>
    <col min="16" max="16" width="11.5" style="70" customWidth="1"/>
    <col min="17" max="17" width="11.33203125" bestFit="1" customWidth="1"/>
    <col min="18" max="18" width="10.1640625" style="20" bestFit="1" customWidth="1"/>
    <col min="19" max="19" width="2.6640625" customWidth="1"/>
    <col min="20" max="20" width="11.5" style="70" customWidth="1"/>
    <col min="21" max="21" width="19.1640625" bestFit="1" customWidth="1"/>
    <col min="22" max="22" width="10.1640625" style="20" bestFit="1" customWidth="1"/>
    <col min="23" max="23" width="2.6640625" customWidth="1"/>
    <col min="24" max="24" width="11.5" style="70" customWidth="1"/>
    <col min="25" max="25" width="16.33203125" bestFit="1" customWidth="1"/>
    <col min="26" max="26" width="8.83203125" style="20"/>
    <col min="27" max="27" width="2.6640625" customWidth="1"/>
    <col min="28" max="28" width="11.5" style="70" customWidth="1"/>
    <col min="29" max="29" width="19.1640625" bestFit="1" customWidth="1"/>
    <col min="30" max="30" width="8.83203125" style="20"/>
    <col min="31" max="31" width="2.6640625" customWidth="1"/>
    <col min="32" max="32" width="11.5" style="70" customWidth="1"/>
    <col min="33" max="33" width="25" bestFit="1" customWidth="1"/>
    <col min="34" max="34" width="8.83203125" style="20"/>
  </cols>
  <sheetData>
    <row r="1" spans="2:34" ht="10.5" customHeight="1" thickBot="1" x14ac:dyDescent="0.25"/>
    <row r="2" spans="2:34" ht="16" thickBot="1" x14ac:dyDescent="0.25">
      <c r="B2" s="16" t="s">
        <v>318</v>
      </c>
      <c r="F2" t="s">
        <v>47</v>
      </c>
      <c r="G2" s="3">
        <f>May!J28</f>
        <v>18522.024000000005</v>
      </c>
      <c r="I2" s="20"/>
    </row>
    <row r="3" spans="2:34" x14ac:dyDescent="0.2">
      <c r="B3" s="21" t="s">
        <v>38</v>
      </c>
      <c r="C3" s="20">
        <f>C6*24</f>
        <v>59532.959999999999</v>
      </c>
      <c r="F3" s="105" t="s">
        <v>46</v>
      </c>
      <c r="G3" s="15">
        <f>D29</f>
        <v>3377.6619999999998</v>
      </c>
    </row>
    <row r="4" spans="2:34" x14ac:dyDescent="0.2">
      <c r="F4" t="s">
        <v>48</v>
      </c>
      <c r="G4" s="3">
        <f>-0.07-20+100</f>
        <v>79.930000000000007</v>
      </c>
      <c r="I4" t="s">
        <v>112</v>
      </c>
      <c r="J4" s="20">
        <f>SUM(N4,R4,V4,Z4,AD4,AH4)</f>
        <v>-119.50999999999996</v>
      </c>
      <c r="L4" s="134" t="s">
        <v>105</v>
      </c>
      <c r="M4" s="134"/>
      <c r="N4" s="20">
        <f>100-N8</f>
        <v>-57.879999999999995</v>
      </c>
      <c r="P4" s="134" t="s">
        <v>106</v>
      </c>
      <c r="Q4" s="134"/>
      <c r="R4" s="20">
        <f>100-R8</f>
        <v>-164.90999999999997</v>
      </c>
      <c r="T4" s="134" t="s">
        <v>107</v>
      </c>
      <c r="U4" s="134"/>
      <c r="V4" s="20">
        <f>200-V8</f>
        <v>-57.94</v>
      </c>
      <c r="X4" s="134" t="s">
        <v>108</v>
      </c>
      <c r="Y4" s="134"/>
      <c r="Z4" s="20">
        <f>100-Z8</f>
        <v>-20</v>
      </c>
      <c r="AB4" s="134" t="s">
        <v>109</v>
      </c>
      <c r="AC4" s="134"/>
      <c r="AD4" s="20">
        <f>100-AD8</f>
        <v>28.75</v>
      </c>
      <c r="AF4" s="134" t="s">
        <v>110</v>
      </c>
      <c r="AG4" s="134"/>
      <c r="AH4" s="20">
        <f>300-AH8</f>
        <v>152.47</v>
      </c>
    </row>
    <row r="5" spans="2:34" ht="16" thickBot="1" x14ac:dyDescent="0.25">
      <c r="B5" s="29" t="s">
        <v>15</v>
      </c>
      <c r="C5" s="30" t="s">
        <v>31</v>
      </c>
      <c r="D5" s="31" t="s">
        <v>32</v>
      </c>
      <c r="F5" s="105" t="s">
        <v>49</v>
      </c>
      <c r="G5" s="15">
        <f>SUM(G2:G4)</f>
        <v>21979.616000000005</v>
      </c>
    </row>
    <row r="6" spans="2:34" ht="16" thickBot="1" x14ac:dyDescent="0.25">
      <c r="B6" s="32" t="s">
        <v>33</v>
      </c>
      <c r="C6" s="103">
        <v>2480.54</v>
      </c>
      <c r="D6" s="116">
        <v>2480.54</v>
      </c>
      <c r="L6" s="130" t="s">
        <v>77</v>
      </c>
      <c r="M6" s="130"/>
      <c r="N6" s="72"/>
      <c r="O6" s="17"/>
      <c r="P6" s="73"/>
      <c r="Q6" s="17"/>
      <c r="R6" s="72"/>
      <c r="S6" s="17"/>
      <c r="T6" s="73"/>
      <c r="U6" s="17"/>
      <c r="V6" s="72"/>
      <c r="W6" s="17"/>
      <c r="X6" s="73"/>
      <c r="Y6" s="17"/>
      <c r="Z6" s="72"/>
      <c r="AA6" s="17"/>
      <c r="AB6" s="73"/>
      <c r="AC6" s="17"/>
      <c r="AD6" s="72"/>
      <c r="AE6" s="17"/>
      <c r="AF6" s="73"/>
      <c r="AG6" s="17"/>
      <c r="AH6" s="72"/>
    </row>
    <row r="7" spans="2:34" ht="16" thickBot="1" x14ac:dyDescent="0.25">
      <c r="B7" s="32" t="s">
        <v>34</v>
      </c>
      <c r="C7" s="6">
        <v>0</v>
      </c>
      <c r="D7" s="33">
        <v>0</v>
      </c>
      <c r="F7" s="57" t="s">
        <v>50</v>
      </c>
      <c r="G7" s="58"/>
      <c r="H7" s="38"/>
      <c r="I7" s="38"/>
      <c r="J7" s="39"/>
      <c r="L7" s="131" t="s">
        <v>62</v>
      </c>
      <c r="M7" s="131"/>
      <c r="P7" s="132" t="s">
        <v>61</v>
      </c>
      <c r="Q7" s="132"/>
      <c r="T7" s="132" t="s">
        <v>68</v>
      </c>
      <c r="U7" s="132"/>
      <c r="X7" s="132" t="s">
        <v>69</v>
      </c>
      <c r="Y7" s="132"/>
      <c r="AB7" s="132" t="s">
        <v>81</v>
      </c>
      <c r="AC7" s="132"/>
      <c r="AF7" s="132" t="s">
        <v>111</v>
      </c>
      <c r="AG7" s="132"/>
    </row>
    <row r="8" spans="2:34" ht="16" thickBot="1" x14ac:dyDescent="0.25">
      <c r="B8" s="34" t="s">
        <v>66</v>
      </c>
      <c r="C8" s="18">
        <f>C6+C7</f>
        <v>2480.54</v>
      </c>
      <c r="D8" s="35">
        <f>D6+D7</f>
        <v>2480.54</v>
      </c>
      <c r="F8" s="59" t="s">
        <v>90</v>
      </c>
      <c r="G8" s="104">
        <v>700</v>
      </c>
      <c r="H8" s="21"/>
      <c r="I8" s="21"/>
      <c r="J8" s="60"/>
      <c r="L8" s="133" t="s">
        <v>82</v>
      </c>
      <c r="M8" s="133"/>
      <c r="N8" s="71">
        <f>SUM(N10:N50)</f>
        <v>157.88</v>
      </c>
      <c r="P8" s="133" t="s">
        <v>82</v>
      </c>
      <c r="Q8" s="133"/>
      <c r="R8" s="71">
        <f>SUM(R10:R50)</f>
        <v>264.90999999999997</v>
      </c>
      <c r="T8" s="133" t="s">
        <v>82</v>
      </c>
      <c r="U8" s="133"/>
      <c r="V8" s="71">
        <f>SUM(V10:V50)</f>
        <v>257.94</v>
      </c>
      <c r="X8" s="133" t="s">
        <v>82</v>
      </c>
      <c r="Y8" s="133"/>
      <c r="Z8" s="71">
        <f>SUM(Z10:Z50)</f>
        <v>120</v>
      </c>
      <c r="AB8" s="133" t="s">
        <v>82</v>
      </c>
      <c r="AC8" s="133"/>
      <c r="AD8" s="71">
        <f>SUM(AD10:AD50)</f>
        <v>71.25</v>
      </c>
      <c r="AF8" s="133" t="s">
        <v>82</v>
      </c>
      <c r="AG8" s="133"/>
      <c r="AH8" s="71">
        <f>SUM(AH10:AH50)</f>
        <v>147.53</v>
      </c>
    </row>
    <row r="9" spans="2:34" x14ac:dyDescent="0.2">
      <c r="B9" s="36"/>
      <c r="C9" s="19"/>
      <c r="D9" s="37">
        <f>SUM(C8:D8)</f>
        <v>4961.08</v>
      </c>
      <c r="F9" s="32"/>
      <c r="G9" s="6"/>
      <c r="H9" s="21"/>
      <c r="I9" s="21"/>
      <c r="J9" s="60"/>
      <c r="L9" s="74" t="s">
        <v>78</v>
      </c>
      <c r="M9" s="19" t="s">
        <v>79</v>
      </c>
      <c r="N9" s="75" t="s">
        <v>80</v>
      </c>
      <c r="P9" s="74" t="s">
        <v>78</v>
      </c>
      <c r="Q9" s="19" t="s">
        <v>79</v>
      </c>
      <c r="R9" s="75" t="s">
        <v>80</v>
      </c>
      <c r="T9" s="74" t="s">
        <v>78</v>
      </c>
      <c r="U9" s="19" t="s">
        <v>79</v>
      </c>
      <c r="V9" s="75" t="s">
        <v>80</v>
      </c>
      <c r="X9" s="74" t="s">
        <v>78</v>
      </c>
      <c r="Y9" s="19" t="s">
        <v>79</v>
      </c>
      <c r="Z9" s="75" t="s">
        <v>80</v>
      </c>
      <c r="AB9" s="74" t="s">
        <v>78</v>
      </c>
      <c r="AC9" s="19" t="s">
        <v>79</v>
      </c>
      <c r="AD9" s="75" t="s">
        <v>80</v>
      </c>
      <c r="AF9" s="74" t="s">
        <v>78</v>
      </c>
      <c r="AG9" s="19" t="s">
        <v>79</v>
      </c>
      <c r="AH9" s="75" t="s">
        <v>80</v>
      </c>
    </row>
    <row r="10" spans="2:34" ht="16" thickBot="1" x14ac:dyDescent="0.25">
      <c r="F10" s="61" t="s">
        <v>51</v>
      </c>
      <c r="G10" s="6"/>
      <c r="H10" s="21"/>
      <c r="I10" s="17" t="s">
        <v>67</v>
      </c>
      <c r="J10" s="60"/>
      <c r="L10" s="70">
        <v>42527</v>
      </c>
      <c r="M10" t="s">
        <v>290</v>
      </c>
      <c r="N10" s="100">
        <v>17.73</v>
      </c>
      <c r="P10" s="70">
        <v>42534</v>
      </c>
      <c r="Q10" t="s">
        <v>119</v>
      </c>
      <c r="R10" s="100">
        <v>36.78</v>
      </c>
      <c r="T10" s="70">
        <v>42524</v>
      </c>
      <c r="U10" t="s">
        <v>285</v>
      </c>
      <c r="V10" s="100">
        <v>15</v>
      </c>
      <c r="X10" s="70">
        <v>42525</v>
      </c>
      <c r="Y10" t="s">
        <v>284</v>
      </c>
      <c r="Z10" s="20">
        <v>10</v>
      </c>
      <c r="AB10" s="70">
        <v>42525</v>
      </c>
      <c r="AC10" t="s">
        <v>286</v>
      </c>
      <c r="AD10" s="100">
        <v>1.25</v>
      </c>
      <c r="AF10" s="70">
        <v>42525</v>
      </c>
      <c r="AG10" t="s">
        <v>283</v>
      </c>
      <c r="AH10" s="100">
        <v>13</v>
      </c>
    </row>
    <row r="11" spans="2:34" ht="16" thickBot="1" x14ac:dyDescent="0.25">
      <c r="B11" s="29" t="s">
        <v>41</v>
      </c>
      <c r="C11" s="38"/>
      <c r="D11" s="39"/>
      <c r="F11" s="62" t="s">
        <v>52</v>
      </c>
      <c r="G11" s="6">
        <f>163.77/5</f>
        <v>32.754000000000005</v>
      </c>
      <c r="H11" s="21"/>
      <c r="I11" s="21" t="s">
        <v>62</v>
      </c>
      <c r="J11" s="33">
        <f>N8</f>
        <v>157.88</v>
      </c>
      <c r="L11" s="70">
        <v>42533</v>
      </c>
      <c r="M11" t="s">
        <v>290</v>
      </c>
      <c r="N11" s="100">
        <v>15.4</v>
      </c>
      <c r="P11" s="70">
        <v>42535</v>
      </c>
      <c r="Q11" t="s">
        <v>119</v>
      </c>
      <c r="R11" s="20">
        <v>1.5</v>
      </c>
      <c r="T11" s="70">
        <v>42525</v>
      </c>
      <c r="U11" t="s">
        <v>287</v>
      </c>
      <c r="V11" s="100">
        <f>12+5</f>
        <v>17</v>
      </c>
      <c r="X11" s="70">
        <v>42531</v>
      </c>
      <c r="Y11" t="s">
        <v>172</v>
      </c>
      <c r="Z11" s="100">
        <v>14.02</v>
      </c>
      <c r="AB11" s="70">
        <v>42527</v>
      </c>
      <c r="AC11" t="s">
        <v>291</v>
      </c>
      <c r="AD11" s="20">
        <v>20</v>
      </c>
      <c r="AF11" s="70">
        <v>42527</v>
      </c>
      <c r="AG11" t="s">
        <v>223</v>
      </c>
      <c r="AH11" s="100">
        <v>3.23</v>
      </c>
    </row>
    <row r="12" spans="2:34" x14ac:dyDescent="0.2">
      <c r="B12" s="40" t="s">
        <v>37</v>
      </c>
      <c r="C12" s="41">
        <v>354.1</v>
      </c>
      <c r="D12" s="41">
        <v>353.51</v>
      </c>
      <c r="F12" s="62" t="s">
        <v>53</v>
      </c>
      <c r="G12" s="6">
        <f>+(58.81+76.76)/5</f>
        <v>27.113999999999997</v>
      </c>
      <c r="H12" s="21"/>
      <c r="I12" s="21" t="s">
        <v>61</v>
      </c>
      <c r="J12" s="33">
        <f>R8</f>
        <v>264.90999999999997</v>
      </c>
      <c r="L12" s="70">
        <v>42534</v>
      </c>
      <c r="M12" t="s">
        <v>119</v>
      </c>
      <c r="N12" s="100">
        <v>31.7</v>
      </c>
      <c r="P12" s="70">
        <v>42535</v>
      </c>
      <c r="Q12" t="s">
        <v>119</v>
      </c>
      <c r="R12" s="20">
        <v>8.4499999999999993</v>
      </c>
      <c r="T12" s="70">
        <v>42526</v>
      </c>
      <c r="U12" t="s">
        <v>288</v>
      </c>
      <c r="V12" s="100">
        <v>18.579999999999998</v>
      </c>
      <c r="X12" s="70">
        <v>42536</v>
      </c>
      <c r="Y12" t="s">
        <v>296</v>
      </c>
      <c r="Z12" s="100">
        <f>21.23+20</f>
        <v>41.230000000000004</v>
      </c>
      <c r="AB12" s="70">
        <v>42528</v>
      </c>
      <c r="AC12" t="s">
        <v>292</v>
      </c>
      <c r="AD12" s="100">
        <v>40</v>
      </c>
      <c r="AF12" s="70">
        <v>42534</v>
      </c>
      <c r="AG12" t="s">
        <v>295</v>
      </c>
      <c r="AH12" s="100">
        <v>9.67</v>
      </c>
    </row>
    <row r="13" spans="2:34" x14ac:dyDescent="0.2">
      <c r="B13" s="40" t="s">
        <v>35</v>
      </c>
      <c r="C13" s="41">
        <v>153.94</v>
      </c>
      <c r="D13" s="41">
        <v>153.79</v>
      </c>
      <c r="F13" s="62" t="s">
        <v>54</v>
      </c>
      <c r="G13" s="6">
        <f>+(7.65+36.33+10.35+8.79+83.82)/5</f>
        <v>29.387999999999998</v>
      </c>
      <c r="H13" s="21"/>
      <c r="I13" s="21" t="s">
        <v>68</v>
      </c>
      <c r="J13" s="33">
        <f>V8</f>
        <v>257.94</v>
      </c>
      <c r="L13" s="70">
        <v>42539</v>
      </c>
      <c r="M13" t="s">
        <v>299</v>
      </c>
      <c r="N13" s="100">
        <v>36.869999999999997</v>
      </c>
      <c r="P13" s="70">
        <v>42540</v>
      </c>
      <c r="Q13" t="s">
        <v>119</v>
      </c>
      <c r="R13" s="100">
        <v>12.99</v>
      </c>
      <c r="T13" s="70">
        <v>42526</v>
      </c>
      <c r="U13" t="s">
        <v>289</v>
      </c>
      <c r="V13" s="100">
        <v>18.38</v>
      </c>
      <c r="X13" s="70">
        <v>42539</v>
      </c>
      <c r="Y13" t="s">
        <v>172</v>
      </c>
      <c r="Z13" s="20">
        <v>12.01</v>
      </c>
      <c r="AB13" s="70">
        <v>42547</v>
      </c>
      <c r="AC13" t="s">
        <v>310</v>
      </c>
      <c r="AD13" s="20">
        <v>10</v>
      </c>
      <c r="AF13" s="70">
        <v>42539</v>
      </c>
      <c r="AG13" t="s">
        <v>305</v>
      </c>
      <c r="AH13" s="100">
        <v>17.52</v>
      </c>
    </row>
    <row r="14" spans="2:34" x14ac:dyDescent="0.2">
      <c r="B14" s="40" t="s">
        <v>36</v>
      </c>
      <c r="C14" s="41">
        <v>36</v>
      </c>
      <c r="D14" s="41">
        <v>35.97</v>
      </c>
      <c r="F14" s="62" t="s">
        <v>55</v>
      </c>
      <c r="G14" s="103">
        <v>30</v>
      </c>
      <c r="H14" s="21"/>
      <c r="I14" s="21" t="s">
        <v>69</v>
      </c>
      <c r="J14" s="33">
        <f>Z8</f>
        <v>120</v>
      </c>
      <c r="L14" s="70">
        <v>42547</v>
      </c>
      <c r="M14" t="s">
        <v>309</v>
      </c>
      <c r="N14" s="20">
        <v>20</v>
      </c>
      <c r="P14" s="70">
        <v>42543</v>
      </c>
      <c r="Q14" t="s">
        <v>119</v>
      </c>
      <c r="R14" s="20">
        <v>9.9600000000000009</v>
      </c>
      <c r="T14" s="70">
        <v>42532</v>
      </c>
      <c r="U14" t="s">
        <v>293</v>
      </c>
      <c r="V14" s="100">
        <v>7.04</v>
      </c>
      <c r="X14" s="70">
        <v>42539</v>
      </c>
      <c r="Y14" t="s">
        <v>239</v>
      </c>
      <c r="Z14" s="100">
        <v>8</v>
      </c>
      <c r="AF14" s="70">
        <v>42542</v>
      </c>
      <c r="AG14" t="s">
        <v>306</v>
      </c>
      <c r="AH14" s="100">
        <v>20</v>
      </c>
    </row>
    <row r="15" spans="2:34" x14ac:dyDescent="0.2">
      <c r="B15" s="42" t="s">
        <v>39</v>
      </c>
      <c r="C15" s="22">
        <f>SUM(C12:C14)</f>
        <v>544.04</v>
      </c>
      <c r="D15" s="43">
        <f>SUM(D12:D14)</f>
        <v>543.27</v>
      </c>
      <c r="F15" s="63" t="s">
        <v>56</v>
      </c>
      <c r="G15" s="104">
        <f>SUM(G11:G14)</f>
        <v>119.256</v>
      </c>
      <c r="H15" s="21"/>
      <c r="I15" s="21" t="s">
        <v>70</v>
      </c>
      <c r="J15" s="33">
        <f>AD8</f>
        <v>71.25</v>
      </c>
      <c r="L15" s="70">
        <v>42548</v>
      </c>
      <c r="M15" t="s">
        <v>140</v>
      </c>
      <c r="N15" s="100">
        <v>36.18</v>
      </c>
      <c r="P15" s="70">
        <v>42548</v>
      </c>
      <c r="Q15" t="s">
        <v>317</v>
      </c>
      <c r="R15" s="100">
        <f>195.23</f>
        <v>195.23</v>
      </c>
      <c r="T15" s="70">
        <v>42533</v>
      </c>
      <c r="U15" t="s">
        <v>156</v>
      </c>
      <c r="V15" s="100">
        <v>7.62</v>
      </c>
      <c r="X15" s="70">
        <v>42539</v>
      </c>
      <c r="Y15" t="s">
        <v>302</v>
      </c>
      <c r="Z15" s="100">
        <v>10</v>
      </c>
      <c r="AF15" s="70">
        <v>42543</v>
      </c>
      <c r="AG15" t="s">
        <v>307</v>
      </c>
      <c r="AH15" s="20">
        <v>4.95</v>
      </c>
    </row>
    <row r="16" spans="2:34" ht="16" thickBot="1" x14ac:dyDescent="0.25">
      <c r="B16" s="40" t="s">
        <v>40</v>
      </c>
      <c r="C16" s="24">
        <f>C15/C8</f>
        <v>0.2193232118812839</v>
      </c>
      <c r="D16" s="44">
        <f>D15/D8</f>
        <v>0.21901279560095785</v>
      </c>
      <c r="F16" s="32"/>
      <c r="G16" s="6"/>
      <c r="H16" s="21"/>
      <c r="I16" s="21" t="s">
        <v>71</v>
      </c>
      <c r="J16" s="33">
        <f>AH8</f>
        <v>147.53</v>
      </c>
      <c r="T16" s="70">
        <v>42533</v>
      </c>
      <c r="U16" t="s">
        <v>294</v>
      </c>
      <c r="V16" s="100">
        <v>16.5</v>
      </c>
      <c r="X16" s="70">
        <v>42539</v>
      </c>
      <c r="Y16" t="s">
        <v>304</v>
      </c>
      <c r="Z16" s="20">
        <v>10</v>
      </c>
      <c r="AF16" s="70">
        <v>42543</v>
      </c>
      <c r="AG16" t="s">
        <v>308</v>
      </c>
      <c r="AH16" s="20">
        <v>63.47</v>
      </c>
    </row>
    <row r="17" spans="2:34" ht="16" thickBot="1" x14ac:dyDescent="0.25">
      <c r="B17" s="40"/>
      <c r="C17" s="24"/>
      <c r="D17" s="45">
        <f>SUM(C15:D15)</f>
        <v>1087.31</v>
      </c>
      <c r="F17" s="65" t="s">
        <v>63</v>
      </c>
      <c r="G17" s="6"/>
      <c r="H17" s="21"/>
      <c r="I17" s="77" t="s">
        <v>94</v>
      </c>
      <c r="J17" s="33">
        <f>3.68+1.76+1.27+0.27</f>
        <v>6.98</v>
      </c>
      <c r="T17" s="70">
        <v>42534</v>
      </c>
      <c r="U17" t="s">
        <v>168</v>
      </c>
      <c r="V17" s="100">
        <v>8.11</v>
      </c>
      <c r="X17" s="70">
        <v>42546</v>
      </c>
      <c r="Y17" t="s">
        <v>119</v>
      </c>
      <c r="Z17" s="20">
        <v>4.74</v>
      </c>
      <c r="AF17" s="70">
        <v>42545</v>
      </c>
      <c r="AG17" t="s">
        <v>313</v>
      </c>
      <c r="AH17" s="20">
        <v>1.62</v>
      </c>
    </row>
    <row r="18" spans="2:34" x14ac:dyDescent="0.2">
      <c r="B18" s="46"/>
      <c r="C18" s="47"/>
      <c r="D18" s="48">
        <f>D17/D9</f>
        <v>0.21916800374112089</v>
      </c>
      <c r="F18" s="32" t="s">
        <v>101</v>
      </c>
      <c r="G18" s="6">
        <v>497.3</v>
      </c>
      <c r="H18" s="21"/>
      <c r="I18" s="77" t="s">
        <v>102</v>
      </c>
      <c r="J18" s="33">
        <f>J33</f>
        <v>77.430000000000049</v>
      </c>
      <c r="T18" s="70">
        <v>42538</v>
      </c>
      <c r="U18" t="s">
        <v>298</v>
      </c>
      <c r="V18" s="20">
        <v>11.91</v>
      </c>
      <c r="X18" s="70">
        <v>42547</v>
      </c>
      <c r="Y18" t="s">
        <v>311</v>
      </c>
      <c r="Z18" s="20">
        <v>10</v>
      </c>
      <c r="AF18" s="70">
        <v>42547</v>
      </c>
      <c r="AG18" t="s">
        <v>316</v>
      </c>
      <c r="AH18" s="100">
        <v>14.07</v>
      </c>
    </row>
    <row r="19" spans="2:34" x14ac:dyDescent="0.2">
      <c r="F19" s="32" t="s">
        <v>57</v>
      </c>
      <c r="G19" s="6">
        <v>300</v>
      </c>
      <c r="H19" s="21"/>
      <c r="I19" s="55" t="s">
        <v>72</v>
      </c>
      <c r="J19" s="64">
        <f>SUM(J11:J18)</f>
        <v>1103.92</v>
      </c>
      <c r="T19" s="70">
        <v>42539</v>
      </c>
      <c r="U19" t="s">
        <v>300</v>
      </c>
      <c r="V19" s="100">
        <v>17.829999999999998</v>
      </c>
    </row>
    <row r="20" spans="2:34" ht="16" thickBot="1" x14ac:dyDescent="0.25">
      <c r="B20" s="29" t="s">
        <v>42</v>
      </c>
      <c r="C20" s="38"/>
      <c r="D20" s="39"/>
      <c r="F20" s="32" t="s">
        <v>58</v>
      </c>
      <c r="G20" s="6">
        <v>110</v>
      </c>
      <c r="H20" s="21"/>
      <c r="I20" s="21"/>
      <c r="J20" s="33"/>
      <c r="T20" s="70">
        <v>42539</v>
      </c>
      <c r="U20" t="s">
        <v>301</v>
      </c>
      <c r="V20" s="100">
        <v>21.36</v>
      </c>
    </row>
    <row r="21" spans="2:34" ht="16" thickBot="1" x14ac:dyDescent="0.25">
      <c r="B21" s="40" t="s">
        <v>43</v>
      </c>
      <c r="C21" s="33">
        <f>0.06*C6</f>
        <v>148.83239999999998</v>
      </c>
      <c r="D21" s="33">
        <f>0.06*D6</f>
        <v>148.83239999999998</v>
      </c>
      <c r="F21" s="32" t="s">
        <v>91</v>
      </c>
      <c r="G21" s="6">
        <v>100</v>
      </c>
      <c r="H21" s="21"/>
      <c r="I21" s="56" t="s">
        <v>73</v>
      </c>
      <c r="J21" s="106">
        <f>SUM(G26,J19)</f>
        <v>2944.5259999999998</v>
      </c>
      <c r="T21" s="70">
        <v>42540</v>
      </c>
      <c r="U21" t="s">
        <v>303</v>
      </c>
      <c r="V21" s="100">
        <v>12</v>
      </c>
    </row>
    <row r="22" spans="2:34" x14ac:dyDescent="0.2">
      <c r="B22" s="40" t="s">
        <v>44</v>
      </c>
      <c r="C22" s="33">
        <f>0.04*C6</f>
        <v>99.221599999999995</v>
      </c>
      <c r="D22" s="33">
        <f>0.04*D6</f>
        <v>99.221599999999995</v>
      </c>
      <c r="F22" s="32" t="s">
        <v>59</v>
      </c>
      <c r="G22" s="6">
        <v>0</v>
      </c>
      <c r="H22" s="21"/>
      <c r="I22" s="21"/>
      <c r="J22" s="60"/>
      <c r="T22" s="70">
        <v>42541</v>
      </c>
      <c r="U22" t="s">
        <v>141</v>
      </c>
      <c r="V22" s="123">
        <v>19.260000000000002</v>
      </c>
    </row>
    <row r="23" spans="2:34" x14ac:dyDescent="0.2">
      <c r="B23" s="42" t="s">
        <v>45</v>
      </c>
      <c r="C23" s="23">
        <f>SUM(C21:C22)</f>
        <v>248.05399999999997</v>
      </c>
      <c r="D23" s="49">
        <f>SUM(D21:D22)</f>
        <v>248.05399999999997</v>
      </c>
      <c r="F23" s="32" t="s">
        <v>60</v>
      </c>
      <c r="G23" s="6">
        <v>5.4</v>
      </c>
      <c r="H23" s="21"/>
      <c r="I23" s="21"/>
      <c r="J23" s="60"/>
      <c r="T23" s="70">
        <v>42544</v>
      </c>
      <c r="U23" t="s">
        <v>213</v>
      </c>
      <c r="V23" s="100">
        <v>38.159999999999997</v>
      </c>
    </row>
    <row r="24" spans="2:34" ht="16" thickBot="1" x14ac:dyDescent="0.25">
      <c r="B24" s="32"/>
      <c r="C24" s="50">
        <f>C23/C6</f>
        <v>9.9999999999999992E-2</v>
      </c>
      <c r="D24" s="51">
        <f>D23/D6</f>
        <v>9.9999999999999992E-2</v>
      </c>
      <c r="F24" s="36" t="s">
        <v>95</v>
      </c>
      <c r="G24" s="103">
        <v>8.65</v>
      </c>
      <c r="H24" s="21"/>
      <c r="I24" s="21"/>
      <c r="J24" s="60"/>
      <c r="T24" s="70">
        <v>42545</v>
      </c>
      <c r="U24" t="s">
        <v>312</v>
      </c>
      <c r="V24" s="20">
        <v>7.36</v>
      </c>
    </row>
    <row r="25" spans="2:34" ht="16" thickBot="1" x14ac:dyDescent="0.25">
      <c r="B25" s="32"/>
      <c r="C25" s="21"/>
      <c r="D25" s="52">
        <f>SUM(C23:D23)</f>
        <v>496.10799999999995</v>
      </c>
      <c r="F25" s="66" t="s">
        <v>65</v>
      </c>
      <c r="G25" s="54">
        <f>SUM(G18:G24)</f>
        <v>1021.3499999999999</v>
      </c>
      <c r="H25" s="21"/>
      <c r="I25" s="21"/>
      <c r="J25" s="60"/>
      <c r="T25" s="70">
        <v>42547</v>
      </c>
      <c r="U25" t="s">
        <v>314</v>
      </c>
      <c r="V25" s="100">
        <v>15.78</v>
      </c>
    </row>
    <row r="26" spans="2:34" x14ac:dyDescent="0.2">
      <c r="B26" s="36"/>
      <c r="C26" s="19"/>
      <c r="D26" s="53">
        <f>D25/SUM(C6:D6)</f>
        <v>9.9999999999999992E-2</v>
      </c>
      <c r="F26" s="107" t="s">
        <v>64</v>
      </c>
      <c r="G26" s="108">
        <f>SUM(G8,G15,G25)</f>
        <v>1840.6059999999998</v>
      </c>
      <c r="H26" s="19"/>
      <c r="I26" s="19"/>
      <c r="J26" s="67"/>
      <c r="T26" s="70">
        <v>42547</v>
      </c>
      <c r="U26" t="s">
        <v>315</v>
      </c>
      <c r="V26" s="100">
        <v>6.05</v>
      </c>
    </row>
    <row r="27" spans="2:34" ht="16" thickBot="1" x14ac:dyDescent="0.25"/>
    <row r="28" spans="2:34" ht="16" thickBot="1" x14ac:dyDescent="0.25">
      <c r="B28" s="25" t="s">
        <v>46</v>
      </c>
      <c r="C28" s="26">
        <f>C8-C15-C23</f>
        <v>1688.4459999999999</v>
      </c>
      <c r="D28" s="27">
        <f>D8-D15-D23</f>
        <v>1689.2159999999999</v>
      </c>
      <c r="I28" s="25" t="s">
        <v>74</v>
      </c>
      <c r="J28" s="68">
        <f>G5-J21</f>
        <v>19035.090000000004</v>
      </c>
    </row>
    <row r="29" spans="2:34" ht="16" thickBot="1" x14ac:dyDescent="0.25">
      <c r="D29" s="28">
        <f>SUM(C28:D28)</f>
        <v>3377.6619999999998</v>
      </c>
    </row>
    <row r="30" spans="2:34" x14ac:dyDescent="0.2">
      <c r="I30" t="s">
        <v>100</v>
      </c>
      <c r="J30" s="20">
        <f>J28-G2</f>
        <v>513.06599999999889</v>
      </c>
    </row>
    <row r="31" spans="2:34" x14ac:dyDescent="0.2">
      <c r="D31" s="20"/>
    </row>
    <row r="32" spans="2:34" x14ac:dyDescent="0.2">
      <c r="I32" t="s">
        <v>102</v>
      </c>
      <c r="J32" s="20"/>
    </row>
    <row r="33" spans="9:10" x14ac:dyDescent="0.2">
      <c r="I33" t="s">
        <v>297</v>
      </c>
      <c r="J33" s="100">
        <f>-60-49.5-16-59.4-59.4-60-60-60-100+296.56*2+8.61</f>
        <v>77.430000000000049</v>
      </c>
    </row>
    <row r="34" spans="9:10" x14ac:dyDescent="0.2">
      <c r="J34" s="20"/>
    </row>
    <row r="35" spans="9:10" x14ac:dyDescent="0.2">
      <c r="J35" s="20"/>
    </row>
    <row r="36" spans="9:10" x14ac:dyDescent="0.2">
      <c r="J36" s="20"/>
    </row>
    <row r="37" spans="9:10" x14ac:dyDescent="0.2">
      <c r="J37" s="20"/>
    </row>
  </sheetData>
  <mergeCells count="19">
    <mergeCell ref="AF4:AG4"/>
    <mergeCell ref="L4:M4"/>
    <mergeCell ref="P4:Q4"/>
    <mergeCell ref="T4:U4"/>
    <mergeCell ref="X4:Y4"/>
    <mergeCell ref="AB4:AC4"/>
    <mergeCell ref="AF7:AG7"/>
    <mergeCell ref="L8:M8"/>
    <mergeCell ref="P8:Q8"/>
    <mergeCell ref="T8:U8"/>
    <mergeCell ref="X8:Y8"/>
    <mergeCell ref="AB8:AC8"/>
    <mergeCell ref="AF8:AG8"/>
    <mergeCell ref="AB7:AC7"/>
    <mergeCell ref="L6:M6"/>
    <mergeCell ref="L7:M7"/>
    <mergeCell ref="P7:Q7"/>
    <mergeCell ref="T7:U7"/>
    <mergeCell ref="X7:Y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Financial Breakdown</vt:lpstr>
      <vt:lpstr>Monthly Breakdown</vt:lpstr>
      <vt:lpstr>Savings</vt:lpstr>
      <vt:lpstr>Jan</vt:lpstr>
      <vt:lpstr>Feb</vt:lpstr>
      <vt:lpstr>Mar</vt:lpstr>
      <vt:lpstr>Apr</vt:lpstr>
      <vt:lpstr>May</vt:lpstr>
      <vt:lpstr>Jun</vt:lpstr>
      <vt:lpstr>Jul</vt:lpstr>
      <vt:lpstr>Aug</vt:lpstr>
      <vt:lpstr>Sep</vt:lpstr>
      <vt:lpstr>Oct</vt:lpstr>
      <vt:lpstr>Nov</vt:lpstr>
      <vt:lpstr>Dec</vt:lpstr>
    </vt:vector>
  </TitlesOfParts>
  <Company>GM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Darron Giron II</dc:creator>
  <cp:lastModifiedBy>Microsoft Office User</cp:lastModifiedBy>
  <dcterms:created xsi:type="dcterms:W3CDTF">2015-01-15T20:06:21Z</dcterms:created>
  <dcterms:modified xsi:type="dcterms:W3CDTF">2016-12-26T16:56:10Z</dcterms:modified>
</cp:coreProperties>
</file>