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CIPM\"/>
    </mc:Choice>
  </mc:AlternateContent>
  <xr:revisionPtr revIDLastSave="0" documentId="13_ncr:1_{7B97DA3E-E4A1-4A78-BC9F-7ADB770689DD}" xr6:coauthVersionLast="47" xr6:coauthVersionMax="47" xr10:uidLastSave="{00000000-0000-0000-0000-000000000000}"/>
  <bookViews>
    <workbookView xWindow="-108" yWindow="-108" windowWidth="41496" windowHeight="16776" xr2:uid="{A0219E52-BC5C-483A-9CFD-680264FDC4D2}"/>
  </bookViews>
  <sheets>
    <sheet name="Worked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7" i="1" l="1" a="1"/>
  <c r="BI7" i="1" s="1"/>
  <c r="BH7" i="1" a="1"/>
  <c r="BH7" i="1" s="1"/>
  <c r="AI17" i="1"/>
  <c r="AI9" i="1"/>
  <c r="AG17" i="1" a="1"/>
  <c r="AG17" i="1" s="1"/>
  <c r="AH17" i="1" a="1"/>
  <c r="AH17" i="1" s="1"/>
  <c r="AF17" i="1" a="1"/>
  <c r="AF17" i="1" s="1"/>
  <c r="AG9" i="1" a="1"/>
  <c r="AG9" i="1" s="1"/>
  <c r="AH9" i="1" a="1"/>
  <c r="AH9" i="1" s="1"/>
  <c r="AF9" i="1" a="1"/>
  <c r="AF9" i="1" s="1"/>
  <c r="AA6" i="1" a="1"/>
  <c r="AA14" i="1" a="1"/>
  <c r="E7" i="1" a="1"/>
  <c r="E7" i="1" s="1"/>
  <c r="A7" i="1" a="1"/>
  <c r="A7" i="1" s="1"/>
  <c r="BG7" i="1" s="1" a="1"/>
  <c r="BG7" i="1" s="1"/>
  <c r="W7" i="1" a="1"/>
  <c r="W7" i="1" s="1"/>
  <c r="S7" i="1" a="1"/>
  <c r="S7" i="1" s="1"/>
  <c r="O7" i="1" a="1"/>
  <c r="O7" i="1" s="1"/>
  <c r="N7" i="1" a="1"/>
  <c r="N7" i="1" s="1"/>
  <c r="AY7" i="1" l="1" a="1"/>
  <c r="AY7" i="1" s="1"/>
  <c r="BR7" i="1" a="1"/>
  <c r="BR7" i="1" s="1"/>
  <c r="AA6" i="1"/>
  <c r="AG7" i="1" a="1"/>
  <c r="AG7" i="1" s="1"/>
  <c r="AH7" i="1" a="1"/>
  <c r="AH7" i="1" s="1"/>
  <c r="AF7" i="1" a="1"/>
  <c r="AF7" i="1" s="1"/>
  <c r="AG8" i="1" a="1"/>
  <c r="AG8" i="1" s="1"/>
  <c r="AH8" i="1" a="1"/>
  <c r="AH8" i="1" s="1"/>
  <c r="AF8" i="1" a="1"/>
  <c r="AF8" i="1" s="1"/>
  <c r="AI8" i="1" a="1"/>
  <c r="AI8" i="1" s="1"/>
  <c r="AI7" i="1" a="1"/>
  <c r="AI7" i="1" s="1"/>
  <c r="AA14" i="1"/>
  <c r="AG16" i="1" a="1"/>
  <c r="AG16" i="1" s="1"/>
  <c r="AF15" i="1" a="1"/>
  <c r="AF15" i="1" s="1"/>
  <c r="AG15" i="1" a="1"/>
  <c r="AG15" i="1" s="1"/>
  <c r="AH15" i="1" a="1"/>
  <c r="AH15" i="1" s="1"/>
  <c r="AH16" i="1" a="1"/>
  <c r="AH16" i="1" s="1"/>
  <c r="AF16" i="1" a="1"/>
  <c r="AF16" i="1" s="1"/>
  <c r="AI16" i="1" a="1"/>
  <c r="AI16" i="1" s="1"/>
  <c r="AI15" i="1" a="1"/>
  <c r="AI15" i="1" s="1"/>
  <c r="P7" i="1" a="1"/>
  <c r="P7" i="1" s="1"/>
  <c r="BP7" i="1" s="1" a="1"/>
  <c r="BP7" i="1" s="1"/>
  <c r="BO7" i="1" s="1" a="1"/>
  <c r="BO7" i="1" s="1"/>
  <c r="BS7" i="1" s="1" a="1"/>
  <c r="BS7" i="1" s="1"/>
  <c r="BS14" i="1" s="1" a="1"/>
  <c r="BS14" i="1" s="1"/>
  <c r="AJ15" i="1" l="1" a="1"/>
  <c r="AJ15" i="1" s="1"/>
  <c r="AS9" i="1"/>
  <c r="AQ9" i="1" a="1"/>
  <c r="AQ9" i="1" s="1"/>
  <c r="AR9" i="1" a="1"/>
  <c r="AR9" i="1" s="1"/>
  <c r="AP9" i="1" a="1"/>
  <c r="AP9" i="1" s="1"/>
  <c r="AS8" i="1" a="1"/>
  <c r="AS8" i="1" s="1"/>
  <c r="AS7" i="1" a="1"/>
  <c r="AS7" i="1" s="1"/>
  <c r="AQ7" i="1" a="1"/>
  <c r="AQ7" i="1" s="1"/>
  <c r="AR7" i="1" a="1"/>
  <c r="AR7" i="1" s="1"/>
  <c r="AQ8" i="1" a="1"/>
  <c r="AQ8" i="1" s="1"/>
  <c r="AR8" i="1" a="1"/>
  <c r="AR8" i="1" s="1"/>
  <c r="AP7" i="1" a="1"/>
  <c r="AP7" i="1" s="1"/>
  <c r="AP8" i="1" a="1"/>
  <c r="AP8" i="1" s="1"/>
  <c r="AP15" i="1" a="1"/>
  <c r="AP15" i="1" s="1"/>
  <c r="AS17" i="1"/>
  <c r="AQ17" i="1" a="1"/>
  <c r="AQ17" i="1" s="1"/>
  <c r="AR17" i="1" a="1"/>
  <c r="AR17" i="1" s="1"/>
  <c r="AP17" i="1" a="1"/>
  <c r="AP17" i="1" s="1"/>
  <c r="AS16" i="1" a="1"/>
  <c r="AS16" i="1" s="1"/>
  <c r="AS15" i="1" a="1"/>
  <c r="AS15" i="1" s="1"/>
  <c r="AP16" i="1" a="1"/>
  <c r="AP16" i="1" s="1"/>
  <c r="AQ16" i="1" a="1"/>
  <c r="AQ16" i="1" s="1"/>
  <c r="AR16" i="1" a="1"/>
  <c r="AR16" i="1" s="1"/>
  <c r="AQ15" i="1" a="1"/>
  <c r="AQ15" i="1" s="1"/>
  <c r="AR15" i="1" a="1"/>
  <c r="AR15" i="1" s="1"/>
  <c r="AJ7" i="1" a="1"/>
  <c r="AJ7" i="1" s="1"/>
  <c r="Y7" i="1" a="1"/>
  <c r="Y7" i="1" s="1"/>
  <c r="U7" i="1" a="1"/>
  <c r="U7" i="1" s="1"/>
  <c r="R14" i="1" s="1" a="1"/>
  <c r="AT7" i="1" l="1" a="1"/>
  <c r="AT7" i="1" s="1"/>
  <c r="AT15" i="1" a="1"/>
  <c r="AT15" i="1" s="1"/>
  <c r="Y15" i="1"/>
  <c r="R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<sst xmlns="http://schemas.openxmlformats.org/spreadsheetml/2006/main" count="134" uniqueCount="50">
  <si>
    <t>Bond</t>
  </si>
  <si>
    <t>Exhibit 2: Bonds Universe</t>
  </si>
  <si>
    <t>Duration</t>
  </si>
  <si>
    <t>Convexity</t>
  </si>
  <si>
    <t>YTM</t>
  </si>
  <si>
    <t>Price</t>
  </si>
  <si>
    <t>Coupon</t>
  </si>
  <si>
    <t>Income</t>
  </si>
  <si>
    <t>Total</t>
  </si>
  <si>
    <t>Weight</t>
  </si>
  <si>
    <t>Portfolio</t>
  </si>
  <si>
    <t>Benchmark</t>
  </si>
  <si>
    <t>Return</t>
  </si>
  <si>
    <t>Provided</t>
  </si>
  <si>
    <t>Formula</t>
  </si>
  <si>
    <t>Rate of Return</t>
  </si>
  <si>
    <t>Contribution to</t>
  </si>
  <si>
    <t>Excess</t>
  </si>
  <si>
    <t>Type</t>
  </si>
  <si>
    <t>Maturity</t>
  </si>
  <si>
    <t>Government</t>
  </si>
  <si>
    <t>Corporate</t>
  </si>
  <si>
    <t>Bucket</t>
  </si>
  <si>
    <t>Short</t>
  </si>
  <si>
    <t>Mid</t>
  </si>
  <si>
    <t>Long</t>
  </si>
  <si>
    <t>TTM</t>
  </si>
  <si>
    <t>Weights</t>
  </si>
  <si>
    <t>Exhibit 4: Portfolio Exposure</t>
  </si>
  <si>
    <t>Exhibit 5: Benchmark Exposure</t>
  </si>
  <si>
    <t>Partial Duration</t>
  </si>
  <si>
    <t>Exhibit 3: Portfolio and Benchmark Weights</t>
  </si>
  <si>
    <t>Exhibit 6: Portfolio Returns</t>
  </si>
  <si>
    <t>Contribution</t>
  </si>
  <si>
    <t>Yield Curve Decomposition - Duration Based</t>
  </si>
  <si>
    <t>Worked Example</t>
  </si>
  <si>
    <t>Roll</t>
  </si>
  <si>
    <t>Shift</t>
  </si>
  <si>
    <t>Slope</t>
  </si>
  <si>
    <t>Curvature</t>
  </si>
  <si>
    <t>Spread</t>
  </si>
  <si>
    <t>Specific</t>
  </si>
  <si>
    <t>Exhibit 39: Return Factors</t>
  </si>
  <si>
    <t>Yield Variations</t>
  </si>
  <si>
    <t>Exhibit 38: Yield Variations</t>
  </si>
  <si>
    <t>Yield</t>
  </si>
  <si>
    <t>Return Factors</t>
  </si>
  <si>
    <t>Residual</t>
  </si>
  <si>
    <t>Exhibit 42: Active Return Factor Contribution</t>
  </si>
  <si>
    <t>Added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</si>
</sst>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71" formatCode="[$-409]mmm\ d\,\ 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15" fontId="2" fillId="2" borderId="0" xfId="0" applyNumberFormat="1" applyFont="1" applyFill="1"/>
    <xf numFmtId="1" fontId="2" fillId="0" borderId="0" xfId="0" applyNumberFormat="1" applyFont="1" applyFill="1"/>
    <xf numFmtId="2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0" fontId="2" fillId="0" borderId="0" xfId="1" applyNumberFormat="1" applyFont="1"/>
    <xf numFmtId="2" fontId="2" fillId="0" borderId="0" xfId="0" applyNumberFormat="1" applyFont="1"/>
    <xf numFmtId="0" fontId="3" fillId="0" borderId="0" xfId="0" applyFont="1"/>
    <xf numFmtId="9" fontId="2" fillId="0" borderId="0" xfId="1" applyFont="1"/>
    <xf numFmtId="9" fontId="3" fillId="0" borderId="0" xfId="0" applyNumberFormat="1" applyFont="1" applyFill="1"/>
    <xf numFmtId="2" fontId="3" fillId="0" borderId="0" xfId="0" applyNumberFormat="1" applyFont="1" applyFill="1"/>
    <xf numFmtId="10" fontId="3" fillId="0" borderId="0" xfId="1" applyNumberFormat="1" applyFont="1" applyFill="1"/>
    <xf numFmtId="10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2" fontId="3" fillId="0" borderId="0" xfId="0" applyNumberFormat="1" applyFont="1"/>
    <xf numFmtId="9" fontId="3" fillId="0" borderId="0" xfId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1" applyNumberFormat="1" applyFont="1"/>
    <xf numFmtId="10" fontId="2" fillId="2" borderId="0" xfId="1" applyNumberFormat="1" applyFont="1" applyFill="1"/>
    <xf numFmtId="0" fontId="3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137E3AC-C328-4866-AEEC-761A0FBDC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F49-FE1B-4160-A766-CE0F833F361B}">
  <dimension ref="A1:CA17"/>
  <sheetViews>
    <sheetView tabSelected="1" workbookViewId="0">
      <pane xSplit="1" ySplit="6" topLeftCell="AD7" activePane="bottomRight" state="frozen"/>
      <selection pane="topRight" activeCell="B1" sqref="B1"/>
      <selection pane="bottomLeft" activeCell="A5" sqref="A5"/>
      <selection pane="bottomRight" activeCell="AY15" sqref="AY15"/>
    </sheetView>
  </sheetViews>
  <sheetFormatPr defaultRowHeight="13.8" x14ac:dyDescent="0.3"/>
  <cols>
    <col min="1" max="1" width="23" style="1" bestFit="1" customWidth="1"/>
    <col min="2" max="2" width="10.33203125" style="1" bestFit="1" customWidth="1"/>
    <col min="3" max="3" width="7.21875" style="1" bestFit="1" customWidth="1"/>
    <col min="4" max="4" width="8.6640625" style="1" bestFit="1" customWidth="1"/>
    <col min="5" max="5" width="4.109375" style="1" bestFit="1" customWidth="1"/>
    <col min="6" max="6" width="6.33203125" style="1" bestFit="1" customWidth="1"/>
    <col min="7" max="7" width="7.77734375" style="1" bestFit="1" customWidth="1"/>
    <col min="8" max="8" width="8.88671875" style="1" bestFit="1" customWidth="1"/>
    <col min="9" max="9" width="5.88671875" style="1" bestFit="1" customWidth="1"/>
    <col min="10" max="10" width="6.44140625" style="1" bestFit="1" customWidth="1"/>
    <col min="11" max="11" width="5.88671875" style="1" bestFit="1" customWidth="1"/>
    <col min="12" max="12" width="7" style="1" bestFit="1" customWidth="1"/>
    <col min="13" max="13" width="7.21875" style="1" bestFit="1" customWidth="1"/>
    <col min="14" max="14" width="6.44140625" style="1" bestFit="1" customWidth="1"/>
    <col min="15" max="15" width="7" style="1" bestFit="1" customWidth="1"/>
    <col min="16" max="16" width="6.44140625" style="1" bestFit="1" customWidth="1"/>
    <col min="17" max="17" width="8.88671875" style="1"/>
    <col min="18" max="18" width="6.44140625" style="1" bestFit="1" customWidth="1"/>
    <col min="19" max="19" width="7.77734375" style="1" bestFit="1" customWidth="1"/>
    <col min="20" max="20" width="8.88671875" style="1" bestFit="1" customWidth="1"/>
    <col min="21" max="21" width="6.5546875" style="1" bestFit="1" customWidth="1"/>
    <col min="22" max="22" width="6.44140625" style="1" bestFit="1" customWidth="1"/>
    <col min="23" max="23" width="7.77734375" style="1" bestFit="1" customWidth="1"/>
    <col min="24" max="24" width="8.88671875" style="1" bestFit="1" customWidth="1"/>
    <col min="25" max="25" width="6.5546875" style="1" bestFit="1" customWidth="1"/>
    <col min="26" max="26" width="8.88671875" style="1"/>
    <col min="27" max="27" width="10.33203125" style="1" bestFit="1" customWidth="1"/>
    <col min="28" max="28" width="5.21875" style="1" bestFit="1" customWidth="1"/>
    <col min="29" max="29" width="4.44140625" style="1" bestFit="1" customWidth="1"/>
    <col min="30" max="30" width="4.77734375" style="1" bestFit="1" customWidth="1"/>
    <col min="31" max="31" width="5.44140625" style="1" bestFit="1" customWidth="1"/>
    <col min="32" max="32" width="5.21875" style="1" bestFit="1" customWidth="1"/>
    <col min="33" max="33" width="4.5546875" style="1" bestFit="1" customWidth="1"/>
    <col min="34" max="34" width="4.77734375" style="1" bestFit="1" customWidth="1"/>
    <col min="35" max="35" width="7" style="1" bestFit="1" customWidth="1"/>
    <col min="36" max="36" width="5.21875" style="1" bestFit="1" customWidth="1"/>
    <col min="37" max="37" width="4.5546875" style="1" bestFit="1" customWidth="1"/>
    <col min="38" max="38" width="5.5546875" style="1" bestFit="1" customWidth="1"/>
    <col min="39" max="39" width="4.88671875" style="1" bestFit="1" customWidth="1"/>
    <col min="40" max="40" width="8.88671875" style="1"/>
    <col min="41" max="41" width="10.33203125" style="1" bestFit="1" customWidth="1"/>
    <col min="42" max="49" width="6.5546875" style="1" bestFit="1" customWidth="1"/>
    <col min="50" max="50" width="8.88671875" style="1"/>
    <col min="51" max="51" width="23" style="1" bestFit="1" customWidth="1"/>
    <col min="52" max="52" width="6.44140625" style="1" bestFit="1" customWidth="1"/>
    <col min="53" max="53" width="5.88671875" style="1" bestFit="1" customWidth="1"/>
    <col min="54" max="54" width="6.44140625" style="1" bestFit="1" customWidth="1"/>
    <col min="55" max="55" width="8.88671875" style="1"/>
    <col min="56" max="56" width="6.5546875" style="1" bestFit="1" customWidth="1"/>
    <col min="57" max="57" width="7.21875" style="1" bestFit="1" customWidth="1"/>
    <col min="58" max="58" width="8.88671875" style="1"/>
    <col min="59" max="59" width="23" style="1" bestFit="1" customWidth="1"/>
    <col min="60" max="61" width="5.88671875" style="1" bestFit="1" customWidth="1"/>
    <col min="62" max="63" width="6.44140625" style="1" bestFit="1" customWidth="1"/>
    <col min="64" max="64" width="8.88671875" style="1"/>
    <col min="65" max="65" width="6.5546875" style="1" bestFit="1" customWidth="1"/>
    <col min="66" max="66" width="7.21875" style="1" bestFit="1" customWidth="1"/>
    <col min="67" max="67" width="7.88671875" style="1" bestFit="1" customWidth="1"/>
    <col min="68" max="68" width="6.44140625" style="1" bestFit="1" customWidth="1"/>
    <col min="69" max="69" width="8.88671875" style="1"/>
    <col min="70" max="70" width="23" style="1" bestFit="1" customWidth="1"/>
    <col min="71" max="71" width="6.44140625" style="1" bestFit="1" customWidth="1"/>
    <col min="72" max="73" width="6.5546875" style="1" bestFit="1" customWidth="1"/>
    <col min="74" max="74" width="6.44140625" style="1" bestFit="1" customWidth="1"/>
    <col min="75" max="75" width="8.88671875" style="1"/>
    <col min="76" max="76" width="6.5546875" style="1" bestFit="1" customWidth="1"/>
    <col min="77" max="77" width="7.21875" style="1" bestFit="1" customWidth="1"/>
    <col min="78" max="78" width="7.88671875" style="1" bestFit="1" customWidth="1"/>
    <col min="79" max="79" width="6.5546875" style="1" bestFit="1" customWidth="1"/>
    <col min="80" max="16384" width="8.88671875" style="1"/>
  </cols>
  <sheetData>
    <row r="1" spans="1:79" s="19" customFormat="1" x14ac:dyDescent="0.3">
      <c r="A1" s="37" t="s">
        <v>35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Y1" s="29" t="s">
        <v>34</v>
      </c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</row>
    <row r="2" spans="1:79" s="19" customForma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s="35" customFormat="1" ht="14.4" customHeight="1" x14ac:dyDescent="0.3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34" t="s">
        <v>31</v>
      </c>
      <c r="S3" s="34"/>
      <c r="T3" s="34"/>
      <c r="U3" s="34"/>
      <c r="V3" s="34"/>
      <c r="W3" s="34"/>
      <c r="X3" s="34"/>
      <c r="Y3" s="34"/>
      <c r="AA3" s="34" t="s">
        <v>28</v>
      </c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O3" s="34" t="s">
        <v>32</v>
      </c>
      <c r="AP3" s="34"/>
      <c r="AQ3" s="34"/>
      <c r="AR3" s="34"/>
      <c r="AS3" s="34"/>
      <c r="AT3" s="34"/>
      <c r="AU3" s="34"/>
      <c r="AV3" s="34"/>
      <c r="AW3" s="34"/>
      <c r="AY3" s="34" t="s">
        <v>44</v>
      </c>
      <c r="AZ3" s="34"/>
      <c r="BA3" s="34"/>
      <c r="BB3" s="34"/>
      <c r="BC3" s="34"/>
      <c r="BD3" s="34"/>
      <c r="BE3" s="34"/>
      <c r="BG3" s="34" t="s">
        <v>42</v>
      </c>
      <c r="BH3" s="34"/>
      <c r="BI3" s="34"/>
      <c r="BJ3" s="34"/>
      <c r="BK3" s="34"/>
      <c r="BL3" s="34"/>
      <c r="BM3" s="34"/>
      <c r="BN3" s="34"/>
      <c r="BO3" s="34"/>
      <c r="BP3" s="34"/>
      <c r="BQ3" s="36"/>
      <c r="BR3" s="34" t="s">
        <v>48</v>
      </c>
      <c r="BS3" s="34"/>
      <c r="BT3" s="34"/>
      <c r="BU3" s="34"/>
      <c r="BV3" s="34"/>
      <c r="BW3" s="34"/>
      <c r="BX3" s="34"/>
      <c r="BY3" s="34"/>
      <c r="BZ3" s="34"/>
      <c r="CA3" s="34"/>
    </row>
    <row r="4" spans="1:79" s="8" customFormat="1" ht="14.4" thickBot="1" x14ac:dyDescent="0.35">
      <c r="I4" s="7"/>
      <c r="J4" s="7"/>
      <c r="K4" s="7"/>
      <c r="L4" s="7"/>
      <c r="M4" s="7"/>
      <c r="N4" s="7"/>
      <c r="O4" s="7"/>
      <c r="P4" s="7"/>
      <c r="R4" s="3" t="s">
        <v>10</v>
      </c>
      <c r="S4" s="3"/>
      <c r="T4" s="3"/>
      <c r="U4" s="3"/>
      <c r="V4" s="3" t="s">
        <v>11</v>
      </c>
      <c r="W4" s="3"/>
      <c r="X4" s="3"/>
      <c r="Y4" s="3"/>
    </row>
    <row r="5" spans="1:79" s="8" customFormat="1" ht="15" customHeight="1" thickBot="1" x14ac:dyDescent="0.35">
      <c r="I5" s="4">
        <v>41455</v>
      </c>
      <c r="J5" s="4"/>
      <c r="K5" s="4">
        <v>41639</v>
      </c>
      <c r="L5" s="4"/>
      <c r="M5" s="4"/>
      <c r="N5" s="3" t="s">
        <v>15</v>
      </c>
      <c r="O5" s="3"/>
      <c r="P5" s="3"/>
      <c r="R5" s="5"/>
      <c r="S5" s="6" t="s">
        <v>16</v>
      </c>
      <c r="T5" s="6"/>
      <c r="U5" s="6"/>
      <c r="V5" s="5"/>
      <c r="W5" s="6" t="s">
        <v>16</v>
      </c>
      <c r="X5" s="6"/>
      <c r="Y5" s="6"/>
      <c r="AB5" s="3" t="s">
        <v>27</v>
      </c>
      <c r="AC5" s="3"/>
      <c r="AD5" s="3"/>
      <c r="AE5" s="3"/>
      <c r="AF5" s="3" t="s">
        <v>30</v>
      </c>
      <c r="AG5" s="3"/>
      <c r="AH5" s="3"/>
      <c r="AI5" s="3"/>
      <c r="AJ5" s="3" t="s">
        <v>2</v>
      </c>
      <c r="AK5" s="3"/>
      <c r="AL5" s="3"/>
      <c r="AM5" s="3"/>
      <c r="AP5" s="3" t="s">
        <v>33</v>
      </c>
      <c r="AQ5" s="3"/>
      <c r="AR5" s="3"/>
      <c r="AS5" s="3"/>
      <c r="AT5" s="3" t="s">
        <v>12</v>
      </c>
      <c r="AU5" s="3"/>
      <c r="AV5" s="3"/>
      <c r="AW5" s="3"/>
      <c r="AZ5" s="3" t="s">
        <v>43</v>
      </c>
      <c r="BA5" s="3"/>
      <c r="BB5" s="3"/>
      <c r="BC5" s="3"/>
      <c r="BD5" s="3"/>
      <c r="BE5" s="3"/>
      <c r="BG5" s="3" t="s">
        <v>46</v>
      </c>
      <c r="BH5" s="3"/>
      <c r="BI5" s="3"/>
      <c r="BJ5" s="3"/>
      <c r="BK5" s="3"/>
      <c r="BL5" s="3"/>
      <c r="BM5" s="3"/>
      <c r="BN5" s="3"/>
      <c r="BO5" s="3"/>
      <c r="BP5" s="3"/>
      <c r="BQ5" s="5"/>
      <c r="BS5" s="3" t="s">
        <v>49</v>
      </c>
      <c r="BT5" s="3"/>
      <c r="BU5" s="3"/>
      <c r="BV5" s="3"/>
      <c r="BW5" s="3"/>
      <c r="BX5" s="3"/>
      <c r="BY5" s="3"/>
      <c r="BZ5" s="3"/>
      <c r="CA5" s="3"/>
    </row>
    <row r="6" spans="1:79" s="8" customFormat="1" ht="14.4" thickBot="1" x14ac:dyDescent="0.35">
      <c r="A6" s="7" t="s">
        <v>0</v>
      </c>
      <c r="B6" s="7" t="s">
        <v>18</v>
      </c>
      <c r="C6" s="7" t="s">
        <v>6</v>
      </c>
      <c r="D6" s="7" t="s">
        <v>19</v>
      </c>
      <c r="E6" s="7" t="s">
        <v>26</v>
      </c>
      <c r="F6" s="7" t="s">
        <v>22</v>
      </c>
      <c r="G6" s="7" t="s">
        <v>2</v>
      </c>
      <c r="H6" s="7" t="s">
        <v>3</v>
      </c>
      <c r="I6" s="7" t="s">
        <v>4</v>
      </c>
      <c r="J6" s="7" t="s">
        <v>5</v>
      </c>
      <c r="K6" s="7" t="s">
        <v>4</v>
      </c>
      <c r="L6" s="7" t="s">
        <v>5</v>
      </c>
      <c r="M6" s="7" t="s">
        <v>6</v>
      </c>
      <c r="N6" s="7" t="s">
        <v>5</v>
      </c>
      <c r="O6" s="7" t="s">
        <v>7</v>
      </c>
      <c r="P6" s="7" t="s">
        <v>8</v>
      </c>
      <c r="R6" s="7" t="s">
        <v>9</v>
      </c>
      <c r="S6" s="7" t="s">
        <v>2</v>
      </c>
      <c r="T6" s="7" t="s">
        <v>3</v>
      </c>
      <c r="U6" s="7" t="s">
        <v>12</v>
      </c>
      <c r="V6" s="7" t="s">
        <v>9</v>
      </c>
      <c r="W6" s="7" t="s">
        <v>2</v>
      </c>
      <c r="X6" s="7" t="s">
        <v>3</v>
      </c>
      <c r="Y6" s="7" t="s">
        <v>12</v>
      </c>
      <c r="AA6" s="7" t="str" cm="1">
        <f t="array" ref="AA6:AE9">_xlfn.PIVOTBY(B7:B13,F7:F13,R7:R13,_xleta.SUM,,,-1,,-1)</f>
        <v/>
      </c>
      <c r="AB6" s="7" t="str">
        <v>Short</v>
      </c>
      <c r="AC6" s="7" t="str">
        <v>Mid</v>
      </c>
      <c r="AD6" s="7" t="str">
        <v>Long</v>
      </c>
      <c r="AE6" s="7" t="str">
        <v>Total</v>
      </c>
      <c r="AF6" s="7" t="s">
        <v>23</v>
      </c>
      <c r="AG6" s="7" t="s">
        <v>24</v>
      </c>
      <c r="AH6" s="7" t="s">
        <v>25</v>
      </c>
      <c r="AI6" s="7" t="s">
        <v>8</v>
      </c>
      <c r="AJ6" s="7" t="s">
        <v>23</v>
      </c>
      <c r="AK6" s="7" t="s">
        <v>24</v>
      </c>
      <c r="AL6" s="7" t="s">
        <v>25</v>
      </c>
      <c r="AM6" s="7" t="s">
        <v>8</v>
      </c>
      <c r="AO6" s="7"/>
      <c r="AP6" s="7" t="s">
        <v>23</v>
      </c>
      <c r="AQ6" s="7" t="s">
        <v>24</v>
      </c>
      <c r="AR6" s="7" t="s">
        <v>25</v>
      </c>
      <c r="AS6" s="7" t="s">
        <v>8</v>
      </c>
      <c r="AT6" s="7" t="s">
        <v>23</v>
      </c>
      <c r="AU6" s="7" t="s">
        <v>24</v>
      </c>
      <c r="AV6" s="7" t="s">
        <v>25</v>
      </c>
      <c r="AW6" s="7" t="s">
        <v>8</v>
      </c>
      <c r="AY6" s="7" t="s">
        <v>0</v>
      </c>
      <c r="AZ6" s="7" t="s">
        <v>36</v>
      </c>
      <c r="BA6" s="7" t="s">
        <v>37</v>
      </c>
      <c r="BB6" s="7" t="s">
        <v>38</v>
      </c>
      <c r="BC6" s="7" t="s">
        <v>39</v>
      </c>
      <c r="BD6" s="7" t="s">
        <v>40</v>
      </c>
      <c r="BE6" s="7" t="s">
        <v>41</v>
      </c>
      <c r="BG6" s="33"/>
      <c r="BH6" s="7" t="s">
        <v>45</v>
      </c>
      <c r="BI6" s="7" t="s">
        <v>36</v>
      </c>
      <c r="BJ6" s="7" t="s">
        <v>37</v>
      </c>
      <c r="BK6" s="7" t="s">
        <v>38</v>
      </c>
      <c r="BL6" s="7" t="s">
        <v>39</v>
      </c>
      <c r="BM6" s="7" t="s">
        <v>40</v>
      </c>
      <c r="BN6" s="7" t="s">
        <v>41</v>
      </c>
      <c r="BO6" s="7" t="s">
        <v>47</v>
      </c>
      <c r="BP6" s="7" t="s">
        <v>8</v>
      </c>
      <c r="BQ6" s="5"/>
      <c r="BR6" s="7"/>
      <c r="BS6" s="7" t="s">
        <v>45</v>
      </c>
      <c r="BT6" s="7" t="s">
        <v>36</v>
      </c>
      <c r="BU6" s="7" t="s">
        <v>37</v>
      </c>
      <c r="BV6" s="7" t="s">
        <v>38</v>
      </c>
      <c r="BW6" s="7" t="s">
        <v>39</v>
      </c>
      <c r="BX6" s="7" t="s">
        <v>40</v>
      </c>
      <c r="BY6" s="7" t="s">
        <v>41</v>
      </c>
      <c r="BZ6" s="7" t="s">
        <v>47</v>
      </c>
      <c r="CA6" s="7" t="s">
        <v>8</v>
      </c>
    </row>
    <row r="7" spans="1:79" x14ac:dyDescent="0.3">
      <c r="A7" s="9" t="str" cm="1">
        <f t="array" ref="A7:A13">B7:B13&amp;" "&amp;TEXT(C7:C13,"0%")&amp;" "&amp;TEXT(D7:D13,"DD MMM YYYY")</f>
        <v>Government 5% 30 Jun 2018</v>
      </c>
      <c r="B7" s="10" t="s">
        <v>20</v>
      </c>
      <c r="C7" s="11">
        <v>0.05</v>
      </c>
      <c r="D7" s="12">
        <v>43281</v>
      </c>
      <c r="E7" s="13" cm="1">
        <f t="array" ref="E7:E13">(D7:D13-I5)/365</f>
        <v>5.0027397260273974</v>
      </c>
      <c r="F7" s="12" t="s">
        <v>23</v>
      </c>
      <c r="G7" s="10">
        <v>4.42</v>
      </c>
      <c r="H7" s="10">
        <v>22.99</v>
      </c>
      <c r="I7" s="15">
        <v>3.78E-2</v>
      </c>
      <c r="J7" s="14">
        <v>105.5</v>
      </c>
      <c r="K7" s="15">
        <v>5.1700000000000003E-2</v>
      </c>
      <c r="L7" s="10">
        <v>99.33</v>
      </c>
      <c r="M7" s="16">
        <v>2.5000000000000001E-2</v>
      </c>
      <c r="N7" s="17" cm="1">
        <f t="array" ref="N7:N13">L7:L13/J7:J13-1</f>
        <v>-5.8483412322274941E-2</v>
      </c>
      <c r="O7" s="17" cm="1">
        <f t="array" ref="O7:O13">M7:M13*100/J7:J13</f>
        <v>2.3696682464454975E-2</v>
      </c>
      <c r="P7" s="17" cm="1">
        <f t="array" ref="P7:P13">_xlfn.ANCHORARRAY(N7)+_xlfn.ANCHORARRAY(O7)</f>
        <v>-3.478672985781997E-2</v>
      </c>
      <c r="R7" s="11">
        <v>0.1</v>
      </c>
      <c r="S7" s="18" cm="1">
        <f t="array" ref="S7:T13">R7:R13*G7:H13</f>
        <v>0.442</v>
      </c>
      <c r="T7" s="18">
        <v>2.2989999999999999</v>
      </c>
      <c r="U7" s="17" cm="1">
        <f t="array" ref="U7:U13">R7:R13*P7:P13</f>
        <v>-3.4786729857819972E-3</v>
      </c>
      <c r="V7" s="11">
        <v>0.2</v>
      </c>
      <c r="W7" s="18" cm="1">
        <f t="array" ref="W7:X13">V7:V13*G7:H13</f>
        <v>0.88400000000000001</v>
      </c>
      <c r="X7" s="18">
        <v>4.5979999999999999</v>
      </c>
      <c r="Y7" s="17" cm="1">
        <f t="array" ref="Y7:Y13">V7:V13*P7:P13</f>
        <v>-6.9573459715639944E-3</v>
      </c>
      <c r="AA7" s="1" t="str">
        <v>Government</v>
      </c>
      <c r="AB7" s="20">
        <v>0.1</v>
      </c>
      <c r="AC7" s="20">
        <v>0.1</v>
      </c>
      <c r="AD7" s="20">
        <v>0.2</v>
      </c>
      <c r="AE7" s="20">
        <v>0.4</v>
      </c>
      <c r="AF7" s="18" cm="1">
        <f t="array" ref="AF7">SUM(IF(($B$7:$B$13=$AA7)*($F$7:$F$13=AB$6),$G$7:$G$13*$R$7:$R$13))</f>
        <v>0.442</v>
      </c>
      <c r="AG7" s="18" cm="1">
        <f t="array" ref="AG7">SUM(IF(($B$7:$B$13=$AA7)*($F$7:$F$13=AC$6),$G$7:$G$13*$R$7:$R$13))</f>
        <v>0.747</v>
      </c>
      <c r="AH7" s="18" cm="1">
        <f t="array" ref="AH7">SUM(IF(($B$7:$B$13=$AA7)*($F$7:$F$13=AD$6),$G$7:$G$13*$R$7:$R$13))</f>
        <v>2.0420000000000003</v>
      </c>
      <c r="AI7" s="18" cm="1">
        <f t="array" ref="AI7">SUM(IF($B$7:$B$13=$AA7,$G$7:$G$13*$R$7:$R$13))</f>
        <v>3.2310000000000003</v>
      </c>
      <c r="AJ7" s="18" cm="1">
        <f t="array" ref="AJ7:AM9">AF7:AI9/AB7:AE9</f>
        <v>4.42</v>
      </c>
      <c r="AK7" s="18">
        <v>7.47</v>
      </c>
      <c r="AL7" s="18">
        <v>10.210000000000001</v>
      </c>
      <c r="AM7" s="18">
        <v>8.0775000000000006</v>
      </c>
      <c r="AO7" s="1" t="s">
        <v>20</v>
      </c>
      <c r="AP7" s="17" cm="1">
        <f t="array" ref="AP7">SUM(IF(($B$7:$B$13=$AO7)*($F$7:$F$13=AP$6),_xlfn.ANCHORARRAY($P$7)*$R$7:$R$13))</f>
        <v>-3.4786729857819972E-3</v>
      </c>
      <c r="AQ7" s="17" cm="1">
        <f t="array" ref="AQ7">SUM(IF(($B$7:$B$13=$AO7)*($F$7:$F$13=AQ$6),_xlfn.ANCHORARRAY($P$7)*$R$7:$R$13))</f>
        <v>-5.1603330310774119E-3</v>
      </c>
      <c r="AR7" s="17" cm="1">
        <f t="array" ref="AR7">SUM(IF(($B$7:$B$13=$AO7)*($F$7:$F$13=AR$6),_xlfn.ANCHORARRAY($P$7)*$R$7:$R$13))</f>
        <v>-8.7481410200332382E-3</v>
      </c>
      <c r="AS7" s="17" cm="1">
        <f t="array" ref="AS7">SUM(IF($B$7:$B$13=$AO7,_xlfn.ANCHORARRAY($P$7)*$R$7:$R$13))</f>
        <v>-1.7387147036892647E-2</v>
      </c>
      <c r="AT7" s="17" cm="1">
        <f t="array" ref="AT7:AW9">AP7:AS9/AB7:AE9</f>
        <v>-3.478672985781997E-2</v>
      </c>
      <c r="AU7" s="17">
        <v>-5.1603330310774118E-2</v>
      </c>
      <c r="AV7" s="17">
        <v>-4.3740705100166186E-2</v>
      </c>
      <c r="AW7" s="17">
        <v>-4.3467867592231618E-2</v>
      </c>
      <c r="AY7" s="1" t="str" cm="1">
        <f t="array" ref="AY7:AY13">_xlfn.ANCHORARRAY(A7)</f>
        <v>Government 5% 30 Jun 2018</v>
      </c>
      <c r="AZ7" s="32">
        <v>-8.9999999999999998E-4</v>
      </c>
      <c r="BA7" s="32">
        <v>0.01</v>
      </c>
      <c r="BB7" s="32">
        <v>2.3E-3</v>
      </c>
      <c r="BC7" s="32">
        <v>2.5000000000000001E-3</v>
      </c>
      <c r="BD7" s="32">
        <v>0</v>
      </c>
      <c r="BE7" s="32">
        <v>0</v>
      </c>
      <c r="BG7" s="1" t="str" cm="1">
        <f t="array" ref="BG7:BG13">_xlfn.ANCHORARRAY(A7)</f>
        <v>Government 5% 30 Jun 2018</v>
      </c>
      <c r="BH7" s="17" cm="1">
        <f t="array" ref="BH7:BH13">I7:I13*(DATE(2013,12,31)-DATE(2013,6,30))/365</f>
        <v>1.9055342465753425E-2</v>
      </c>
      <c r="BI7" s="17" cm="1">
        <f t="array" ref="BI7:BN13">-G7:G13*AZ7:BE13+0.5*H7:H13*AZ7:BE13^2</f>
        <v>3.9873109499999997E-3</v>
      </c>
      <c r="BJ7" s="17">
        <v>-4.3050500000000005E-2</v>
      </c>
      <c r="BK7" s="17">
        <v>-1.010519145E-2</v>
      </c>
      <c r="BL7" s="17">
        <v>-1.0978156250000001E-2</v>
      </c>
      <c r="BM7" s="17">
        <v>0</v>
      </c>
      <c r="BN7" s="17">
        <v>0</v>
      </c>
      <c r="BO7" s="17" cm="1">
        <f t="array" ref="BO7:BO13">BP7:BP13-_xlfn.BYROW(BH7:BN13,_xleta.SUM)</f>
        <v>6.304464426426612E-3</v>
      </c>
      <c r="BP7" s="17" cm="1">
        <f t="array" ref="BP7:BP13">_xlfn.ANCHORARRAY(P7)</f>
        <v>-3.478672985781997E-2</v>
      </c>
      <c r="BQ7" s="17"/>
      <c r="BR7" s="1" t="str" cm="1">
        <f t="array" ref="BR7:BR13">_xlfn.ANCHORARRAY(A7)</f>
        <v>Government 5% 30 Jun 2018</v>
      </c>
      <c r="BS7" s="17" cm="1">
        <f t="array" ref="BS7:CA13">(R7:R13-V7:V13)*BH7:BP13</f>
        <v>-1.9055342465753426E-3</v>
      </c>
      <c r="BT7" s="17">
        <v>-3.9873109499999999E-4</v>
      </c>
      <c r="BU7" s="17">
        <v>4.3050500000000004E-3</v>
      </c>
      <c r="BV7" s="17">
        <v>1.0105191450000002E-3</v>
      </c>
      <c r="BW7" s="17">
        <v>1.0978156250000001E-3</v>
      </c>
      <c r="BX7" s="17">
        <v>0</v>
      </c>
      <c r="BY7" s="17">
        <v>0</v>
      </c>
      <c r="BZ7" s="17">
        <v>-6.3044644264266124E-4</v>
      </c>
      <c r="CA7" s="17">
        <v>3.4786729857819972E-3</v>
      </c>
    </row>
    <row r="8" spans="1:79" x14ac:dyDescent="0.3">
      <c r="A8" s="9" t="str">
        <v>Government 7% 30 Jun 2023</v>
      </c>
      <c r="B8" s="10" t="s">
        <v>20</v>
      </c>
      <c r="C8" s="11">
        <v>7.0000000000000007E-2</v>
      </c>
      <c r="D8" s="12">
        <v>45107</v>
      </c>
      <c r="E8" s="13">
        <v>10.005479452054795</v>
      </c>
      <c r="F8" s="12" t="s">
        <v>24</v>
      </c>
      <c r="G8" s="10">
        <v>7.47</v>
      </c>
      <c r="H8" s="10">
        <v>69.31</v>
      </c>
      <c r="I8" s="15">
        <v>4.3499999999999997E-2</v>
      </c>
      <c r="J8" s="14">
        <v>121.31</v>
      </c>
      <c r="K8" s="15">
        <v>5.4300000000000001E-2</v>
      </c>
      <c r="L8" s="10">
        <v>111.55</v>
      </c>
      <c r="M8" s="16">
        <v>3.5000000000000003E-2</v>
      </c>
      <c r="N8" s="17">
        <v>-8.0455032561206896E-2</v>
      </c>
      <c r="O8" s="17">
        <v>2.8851702250432779E-2</v>
      </c>
      <c r="P8" s="17">
        <v>-5.1603330310774118E-2</v>
      </c>
      <c r="R8" s="11">
        <v>0.1</v>
      </c>
      <c r="S8" s="18">
        <v>0.747</v>
      </c>
      <c r="T8" s="18">
        <v>6.9310000000000009</v>
      </c>
      <c r="U8" s="17">
        <v>-5.1603330310774119E-3</v>
      </c>
      <c r="V8" s="11">
        <v>0.2</v>
      </c>
      <c r="W8" s="18">
        <v>1.494</v>
      </c>
      <c r="X8" s="18">
        <v>13.862000000000002</v>
      </c>
      <c r="Y8" s="17">
        <v>-1.0320666062154824E-2</v>
      </c>
      <c r="AA8" s="1" t="str">
        <v>Corporate</v>
      </c>
      <c r="AB8" s="20">
        <v>0.1</v>
      </c>
      <c r="AC8" s="20">
        <v>0.2</v>
      </c>
      <c r="AD8" s="20">
        <v>0.3</v>
      </c>
      <c r="AE8" s="20">
        <v>0.60000000000000009</v>
      </c>
      <c r="AF8" s="18" cm="1">
        <f t="array" ref="AF8">SUM(IF(($B$7:$B$13=$AA8)*($F$7:$F$13=AB$6),$G$7:$G$13*$R$7:$R$13))</f>
        <v>0.44000000000000006</v>
      </c>
      <c r="AG8" s="18" cm="1">
        <f t="array" ref="AG8">SUM(IF(($B$7:$B$13=$AA8)*($F$7:$F$13=AC$6),$G$7:$G$13*$R$7:$R$13))</f>
        <v>1.4800000000000002</v>
      </c>
      <c r="AH8" s="18" cm="1">
        <f t="array" ref="AH8">SUM(IF(($B$7:$B$13=$AA8)*($F$7:$F$13=AD$6),$G$7:$G$13*$R$7:$R$13))</f>
        <v>3.0180000000000002</v>
      </c>
      <c r="AI8" s="18" cm="1">
        <f t="array" ref="AI8">SUM(IF($B$7:$B$13=$AA8,$G$7:$G$13*$R$7:$R$13))</f>
        <v>4.9380000000000006</v>
      </c>
      <c r="AJ8" s="18">
        <v>4.4000000000000004</v>
      </c>
      <c r="AK8" s="18">
        <v>7.4</v>
      </c>
      <c r="AL8" s="18">
        <v>10.06</v>
      </c>
      <c r="AM8" s="18">
        <v>8.23</v>
      </c>
      <c r="AO8" s="1" t="s">
        <v>21</v>
      </c>
      <c r="AP8" s="17" cm="1">
        <f t="array" ref="AP8">SUM(IF(($B$7:$B$13=$AO8)*($F$7:$F$13=AP$6),_xlfn.ANCHORARRAY($P$7)*$R$7:$R$13))</f>
        <v>-4.3313953488372126E-3</v>
      </c>
      <c r="AQ8" s="17" cm="1">
        <f t="array" ref="AQ8">SUM(IF(($B$7:$B$13=$AO8)*($F$7:$F$13=AQ$6),_xlfn.ANCHORARRAY($P$7)*$R$7:$R$13))</f>
        <v>-1.2282952698657069E-2</v>
      </c>
      <c r="AR8" s="17" cm="1">
        <f t="array" ref="AR8">SUM(IF(($B$7:$B$13=$AO8)*($F$7:$F$13=AR$6),_xlfn.ANCHORARRAY($P$7)*$R$7:$R$13))</f>
        <v>-1.624977009380172E-2</v>
      </c>
      <c r="AS8" s="17" cm="1">
        <f t="array" ref="AS8">SUM(IF($B$7:$B$13=$AO8,_xlfn.ANCHORARRAY($P$7)*$R$7:$R$13))</f>
        <v>-3.2864118141296E-2</v>
      </c>
      <c r="AT8" s="17">
        <v>-4.3313953488372123E-2</v>
      </c>
      <c r="AU8" s="17">
        <v>-6.1414763493285347E-2</v>
      </c>
      <c r="AV8" s="17">
        <v>-5.4165900312672405E-2</v>
      </c>
      <c r="AW8" s="17">
        <v>-5.4773530235493327E-2</v>
      </c>
      <c r="AY8" s="1" t="str">
        <v>Government 7% 30 Jun 2023</v>
      </c>
      <c r="AZ8" s="32">
        <v>-4.0000000000000002E-4</v>
      </c>
      <c r="BA8" s="32">
        <v>0.01</v>
      </c>
      <c r="BB8" s="32">
        <v>5.9999999999999995E-4</v>
      </c>
      <c r="BC8" s="32">
        <v>5.9999999999999995E-4</v>
      </c>
      <c r="BD8" s="32">
        <v>0</v>
      </c>
      <c r="BE8" s="32">
        <v>0</v>
      </c>
      <c r="BG8" s="1" t="str">
        <v>Government 7% 30 Jun 2023</v>
      </c>
      <c r="BH8" s="17">
        <v>2.192876712328767E-2</v>
      </c>
      <c r="BI8" s="17">
        <v>2.9935448000000002E-3</v>
      </c>
      <c r="BJ8" s="17">
        <v>-7.1234500000000006E-2</v>
      </c>
      <c r="BK8" s="17">
        <v>-4.4695242E-3</v>
      </c>
      <c r="BL8" s="17">
        <v>-4.4695242E-3</v>
      </c>
      <c r="BM8" s="17">
        <v>0</v>
      </c>
      <c r="BN8" s="17">
        <v>0</v>
      </c>
      <c r="BO8" s="17">
        <v>3.6479061659382139E-3</v>
      </c>
      <c r="BP8" s="17">
        <v>-5.1603330310774118E-2</v>
      </c>
      <c r="BQ8" s="17"/>
      <c r="BR8" s="1" t="str">
        <v>Government 7% 30 Jun 2023</v>
      </c>
      <c r="BS8" s="17">
        <v>-2.192876712328767E-3</v>
      </c>
      <c r="BT8" s="17">
        <v>-2.9935448000000003E-4</v>
      </c>
      <c r="BU8" s="17">
        <v>7.1234500000000008E-3</v>
      </c>
      <c r="BV8" s="17">
        <v>4.4695242000000003E-4</v>
      </c>
      <c r="BW8" s="17">
        <v>4.4695242000000003E-4</v>
      </c>
      <c r="BX8" s="17">
        <v>0</v>
      </c>
      <c r="BY8" s="17">
        <v>0</v>
      </c>
      <c r="BZ8" s="17">
        <v>-3.6479061659382139E-4</v>
      </c>
      <c r="CA8" s="17">
        <v>5.1603330310774119E-3</v>
      </c>
    </row>
    <row r="9" spans="1:79" x14ac:dyDescent="0.3">
      <c r="A9" s="9" t="str">
        <v>Government 6% 30 Jun 2028</v>
      </c>
      <c r="B9" s="10" t="s">
        <v>20</v>
      </c>
      <c r="C9" s="11">
        <v>0.06</v>
      </c>
      <c r="D9" s="12">
        <v>46934</v>
      </c>
      <c r="E9" s="13">
        <v>15.010958904109589</v>
      </c>
      <c r="F9" s="12" t="s">
        <v>25</v>
      </c>
      <c r="G9" s="10">
        <v>10.210000000000001</v>
      </c>
      <c r="H9" s="10">
        <v>134.44</v>
      </c>
      <c r="I9" s="15">
        <v>4.6600000000000003E-2</v>
      </c>
      <c r="J9" s="14">
        <v>114.31</v>
      </c>
      <c r="K9" s="15">
        <v>5.3699999999999998E-2</v>
      </c>
      <c r="L9" s="10">
        <v>106.31</v>
      </c>
      <c r="M9" s="16">
        <v>0.03</v>
      </c>
      <c r="N9" s="17">
        <v>-6.9985128160265919E-2</v>
      </c>
      <c r="O9" s="17">
        <v>2.6244423060099727E-2</v>
      </c>
      <c r="P9" s="17">
        <v>-4.3740705100166193E-2</v>
      </c>
      <c r="R9" s="11">
        <v>0.2</v>
      </c>
      <c r="S9" s="18">
        <v>2.0420000000000003</v>
      </c>
      <c r="T9" s="18">
        <v>26.888000000000002</v>
      </c>
      <c r="U9" s="17">
        <v>-8.7481410200332382E-3</v>
      </c>
      <c r="V9" s="11">
        <v>0.15</v>
      </c>
      <c r="W9" s="18">
        <v>1.5315000000000001</v>
      </c>
      <c r="X9" s="18">
        <v>20.166</v>
      </c>
      <c r="Y9" s="17">
        <v>-6.5611057650249291E-3</v>
      </c>
      <c r="AA9" s="19" t="str">
        <v>Total</v>
      </c>
      <c r="AB9" s="28">
        <v>0.2</v>
      </c>
      <c r="AC9" s="28">
        <v>0.30000000000000004</v>
      </c>
      <c r="AD9" s="28">
        <v>0.5</v>
      </c>
      <c r="AE9" s="28">
        <v>1</v>
      </c>
      <c r="AF9" s="27" cm="1">
        <f t="array" ref="AF9">SUM(IF($F$7:$F$13=AF$6,$G$7:$G$13*$R$7:$R$13))</f>
        <v>0.88200000000000012</v>
      </c>
      <c r="AG9" s="27" cm="1">
        <f t="array" ref="AG9">SUM(IF($F$7:$F$13=AG$6,$G$7:$G$13*$R$7:$R$13))</f>
        <v>2.2270000000000003</v>
      </c>
      <c r="AH9" s="27" cm="1">
        <f t="array" ref="AH9">SUM(IF($F$7:$F$13=AH$6,$G$7:$G$13*$R$7:$R$13))</f>
        <v>5.0600000000000005</v>
      </c>
      <c r="AI9" s="27">
        <f>SUMPRODUCT($G$7:$G$13,$R$7:$R$13)</f>
        <v>8.1690000000000005</v>
      </c>
      <c r="AJ9" s="27">
        <v>4.41</v>
      </c>
      <c r="AK9" s="27">
        <v>7.4233333333333329</v>
      </c>
      <c r="AL9" s="27">
        <v>10.120000000000001</v>
      </c>
      <c r="AM9" s="27">
        <v>8.1690000000000005</v>
      </c>
      <c r="AO9" s="19" t="s">
        <v>8</v>
      </c>
      <c r="AP9" s="31" cm="1">
        <f t="array" ref="AP9">SUM(IF($F$7:$F$13=AP$6,_xlfn.ANCHORARRAY($P$7)*$R$7:$R$13))</f>
        <v>-7.8100683346192098E-3</v>
      </c>
      <c r="AQ9" s="31" cm="1">
        <f t="array" ref="AQ9">SUM(IF($F$7:$F$13=AQ$6,_xlfn.ANCHORARRAY($P$7)*$R$7:$R$13))</f>
        <v>-1.7443285729734481E-2</v>
      </c>
      <c r="AR9" s="31" cm="1">
        <f t="array" ref="AR9">SUM(IF($F$7:$F$13=AR$6,_xlfn.ANCHORARRAY($P$7)*$R$7:$R$13))</f>
        <v>-2.499791111383496E-2</v>
      </c>
      <c r="AS9" s="31">
        <f>SUMPRODUCT(_xlfn.ANCHORARRAY($P$7),$R$7:$R$13)</f>
        <v>-5.0251265178188648E-2</v>
      </c>
      <c r="AT9" s="31">
        <v>-3.9050341673096046E-2</v>
      </c>
      <c r="AU9" s="31">
        <v>-5.8144285765781595E-2</v>
      </c>
      <c r="AV9" s="31">
        <v>-4.999582222766992E-2</v>
      </c>
      <c r="AW9" s="31">
        <v>-5.0251265178188648E-2</v>
      </c>
      <c r="AY9" s="1" t="str">
        <v>Government 6% 30 Jun 2028</v>
      </c>
      <c r="AZ9" s="32">
        <v>-2.0000000000000001E-4</v>
      </c>
      <c r="BA9" s="32">
        <v>0.01</v>
      </c>
      <c r="BB9" s="32">
        <v>-1E-3</v>
      </c>
      <c r="BC9" s="32">
        <v>-1.6999999999999999E-3</v>
      </c>
      <c r="BD9" s="32">
        <v>0</v>
      </c>
      <c r="BE9" s="32">
        <v>0</v>
      </c>
      <c r="BG9" s="1" t="str">
        <v>Government 6% 30 Jun 2028</v>
      </c>
      <c r="BH9" s="17">
        <v>2.3491506849315072E-2</v>
      </c>
      <c r="BI9" s="17">
        <v>2.0446888000000005E-3</v>
      </c>
      <c r="BJ9" s="17">
        <v>-9.5378000000000004E-2</v>
      </c>
      <c r="BK9" s="17">
        <v>1.027722E-2</v>
      </c>
      <c r="BL9" s="17">
        <v>1.75512658E-2</v>
      </c>
      <c r="BM9" s="17">
        <v>0</v>
      </c>
      <c r="BN9" s="17">
        <v>0</v>
      </c>
      <c r="BO9" s="17">
        <v>-1.7273865494812635E-3</v>
      </c>
      <c r="BP9" s="17">
        <v>-4.3740705100166193E-2</v>
      </c>
      <c r="BQ9" s="17"/>
      <c r="BR9" s="1" t="str">
        <v>Government 6% 30 Jun 2028</v>
      </c>
      <c r="BS9" s="17">
        <v>1.1745753424657541E-3</v>
      </c>
      <c r="BT9" s="17">
        <v>1.0223444000000006E-4</v>
      </c>
      <c r="BU9" s="17">
        <v>-4.7689000000000021E-3</v>
      </c>
      <c r="BV9" s="17">
        <v>5.1386100000000022E-4</v>
      </c>
      <c r="BW9" s="17">
        <v>8.7756329000000029E-4</v>
      </c>
      <c r="BX9" s="17">
        <v>0</v>
      </c>
      <c r="BY9" s="17">
        <v>0</v>
      </c>
      <c r="BZ9" s="17">
        <v>-8.6369327474063206E-5</v>
      </c>
      <c r="CA9" s="17">
        <v>-2.1870352550083104E-3</v>
      </c>
    </row>
    <row r="10" spans="1:79" x14ac:dyDescent="0.3">
      <c r="A10" s="9" t="str">
        <v>Corporate 5% 30 Jun 2018</v>
      </c>
      <c r="B10" s="10" t="s">
        <v>21</v>
      </c>
      <c r="C10" s="11">
        <v>0.05</v>
      </c>
      <c r="D10" s="12">
        <v>43281</v>
      </c>
      <c r="E10" s="13">
        <v>5.0027397260273974</v>
      </c>
      <c r="F10" s="12" t="s">
        <v>23</v>
      </c>
      <c r="G10" s="10">
        <v>4.4000000000000004</v>
      </c>
      <c r="H10" s="10">
        <v>22.84</v>
      </c>
      <c r="I10" s="15">
        <v>4.2799999999999998E-2</v>
      </c>
      <c r="J10" s="14">
        <v>103.2</v>
      </c>
      <c r="K10" s="15">
        <v>5.9700000000000003E-2</v>
      </c>
      <c r="L10" s="10">
        <v>96.23</v>
      </c>
      <c r="M10" s="16">
        <v>2.5000000000000001E-2</v>
      </c>
      <c r="N10" s="17">
        <v>-6.7538759689922512E-2</v>
      </c>
      <c r="O10" s="17">
        <v>2.4224806201550386E-2</v>
      </c>
      <c r="P10" s="17">
        <v>-4.3313953488372123E-2</v>
      </c>
      <c r="R10" s="11">
        <v>0.1</v>
      </c>
      <c r="S10" s="18">
        <v>0.44000000000000006</v>
      </c>
      <c r="T10" s="18">
        <v>2.2840000000000003</v>
      </c>
      <c r="U10" s="17">
        <v>-4.3313953488372126E-3</v>
      </c>
      <c r="V10" s="11">
        <v>0.15</v>
      </c>
      <c r="W10" s="18">
        <v>0.66</v>
      </c>
      <c r="X10" s="18">
        <v>3.4259999999999997</v>
      </c>
      <c r="Y10" s="17">
        <v>-6.4970930232558181E-3</v>
      </c>
      <c r="AY10" s="1" t="str">
        <v>Corporate 5% 30 Jun 2018</v>
      </c>
      <c r="AZ10" s="32">
        <v>-8.9999999999999998E-4</v>
      </c>
      <c r="BA10" s="32">
        <v>0.01</v>
      </c>
      <c r="BB10" s="32">
        <v>2.3E-3</v>
      </c>
      <c r="BC10" s="32">
        <v>2.5000000000000001E-3</v>
      </c>
      <c r="BD10" s="32">
        <v>2E-3</v>
      </c>
      <c r="BE10" s="32">
        <v>1E-3</v>
      </c>
      <c r="BG10" s="1" t="str">
        <v>Corporate 5% 30 Jun 2018</v>
      </c>
      <c r="BH10" s="17">
        <v>2.1575890410958903E-2</v>
      </c>
      <c r="BI10" s="17">
        <v>3.9692501999999998E-3</v>
      </c>
      <c r="BJ10" s="17">
        <v>-4.2858000000000007E-2</v>
      </c>
      <c r="BK10" s="17">
        <v>-1.00595882E-2</v>
      </c>
      <c r="BL10" s="17">
        <v>-1.0928625000000001E-2</v>
      </c>
      <c r="BM10" s="17">
        <v>-8.7543200000000012E-3</v>
      </c>
      <c r="BN10" s="17">
        <v>-4.3885800000000004E-3</v>
      </c>
      <c r="BO10" s="17">
        <v>8.1300191006689893E-3</v>
      </c>
      <c r="BP10" s="17">
        <v>-4.3313953488372123E-2</v>
      </c>
      <c r="BQ10" s="17"/>
      <c r="BR10" s="1" t="str">
        <v>Corporate 5% 30 Jun 2018</v>
      </c>
      <c r="BS10" s="17">
        <v>-1.0787945205479449E-3</v>
      </c>
      <c r="BT10" s="17">
        <v>-1.9846250999999994E-4</v>
      </c>
      <c r="BU10" s="17">
        <v>2.1429000000000001E-3</v>
      </c>
      <c r="BV10" s="17">
        <v>5.0297940999999996E-4</v>
      </c>
      <c r="BW10" s="17">
        <v>5.4643124999999987E-4</v>
      </c>
      <c r="BX10" s="17">
        <v>4.3771599999999994E-4</v>
      </c>
      <c r="BY10" s="17">
        <v>2.1942899999999996E-4</v>
      </c>
      <c r="BZ10" s="17">
        <v>-4.0650095503344936E-4</v>
      </c>
      <c r="CA10" s="17">
        <v>2.1656976744186054E-3</v>
      </c>
    </row>
    <row r="11" spans="1:79" ht="14.4" customHeight="1" x14ac:dyDescent="0.3">
      <c r="A11" s="9" t="str">
        <v>Corporate 7% 30 Jun 2023</v>
      </c>
      <c r="B11" s="10" t="s">
        <v>21</v>
      </c>
      <c r="C11" s="11">
        <v>7.0000000000000007E-2</v>
      </c>
      <c r="D11" s="12">
        <v>45107</v>
      </c>
      <c r="E11" s="13">
        <v>10.005479452054795</v>
      </c>
      <c r="F11" s="12" t="s">
        <v>24</v>
      </c>
      <c r="G11" s="10">
        <v>7.4</v>
      </c>
      <c r="H11" s="10">
        <v>68.36</v>
      </c>
      <c r="I11" s="15">
        <v>4.8500000000000001E-2</v>
      </c>
      <c r="J11" s="14">
        <v>116.91</v>
      </c>
      <c r="K11" s="15">
        <v>6.1199999999999997E-2</v>
      </c>
      <c r="L11" s="10">
        <v>106.23</v>
      </c>
      <c r="M11" s="16">
        <v>3.5000000000000003E-2</v>
      </c>
      <c r="N11" s="17">
        <v>-9.1352322299204425E-2</v>
      </c>
      <c r="O11" s="17">
        <v>2.9937558805919088E-2</v>
      </c>
      <c r="P11" s="17">
        <v>-6.141476349328534E-2</v>
      </c>
      <c r="R11" s="11">
        <v>0.2</v>
      </c>
      <c r="S11" s="18">
        <v>1.4800000000000002</v>
      </c>
      <c r="T11" s="18">
        <v>13.672000000000001</v>
      </c>
      <c r="U11" s="17">
        <v>-1.2282952698657069E-2</v>
      </c>
      <c r="V11" s="11">
        <v>0.15</v>
      </c>
      <c r="W11" s="18">
        <v>1.1100000000000001</v>
      </c>
      <c r="X11" s="18">
        <v>10.254</v>
      </c>
      <c r="Y11" s="17">
        <v>-9.2122145239928004E-3</v>
      </c>
      <c r="AA11" s="26" t="s">
        <v>29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O11" s="26" t="s">
        <v>32</v>
      </c>
      <c r="AP11" s="26"/>
      <c r="AQ11" s="26"/>
      <c r="AR11" s="26"/>
      <c r="AS11" s="26"/>
      <c r="AT11" s="26"/>
      <c r="AU11" s="26"/>
      <c r="AV11" s="26"/>
      <c r="AW11" s="26"/>
      <c r="AY11" s="1" t="str">
        <v>Corporate 7% 30 Jun 2023</v>
      </c>
      <c r="AZ11" s="32">
        <v>-4.0000000000000002E-4</v>
      </c>
      <c r="BA11" s="32">
        <v>0.01</v>
      </c>
      <c r="BB11" s="32">
        <v>5.9999999999999995E-4</v>
      </c>
      <c r="BC11" s="32">
        <v>5.9999999999999995E-4</v>
      </c>
      <c r="BD11" s="32">
        <v>2E-3</v>
      </c>
      <c r="BE11" s="32">
        <v>0</v>
      </c>
      <c r="BG11" s="1" t="str">
        <v>Corporate 7% 30 Jun 2023</v>
      </c>
      <c r="BH11" s="17">
        <v>2.4449315068493148E-2</v>
      </c>
      <c r="BI11" s="17">
        <v>2.9654688000000005E-3</v>
      </c>
      <c r="BJ11" s="17">
        <v>-7.0582000000000006E-2</v>
      </c>
      <c r="BK11" s="17">
        <v>-4.4276951999999998E-3</v>
      </c>
      <c r="BL11" s="17">
        <v>-4.4276951999999998E-3</v>
      </c>
      <c r="BM11" s="17">
        <v>-1.4663280000000001E-2</v>
      </c>
      <c r="BN11" s="17">
        <v>0</v>
      </c>
      <c r="BO11" s="17">
        <v>5.2711230382215118E-3</v>
      </c>
      <c r="BP11" s="17">
        <v>-6.141476349328534E-2</v>
      </c>
      <c r="BQ11" s="17"/>
      <c r="BR11" s="1" t="str">
        <v>Corporate 7% 30 Jun 2023</v>
      </c>
      <c r="BS11" s="17">
        <v>1.2224657534246578E-3</v>
      </c>
      <c r="BT11" s="17">
        <v>1.4827344000000007E-4</v>
      </c>
      <c r="BU11" s="17">
        <v>-3.5291000000000016E-3</v>
      </c>
      <c r="BV11" s="17">
        <v>-2.2138476000000006E-4</v>
      </c>
      <c r="BW11" s="17">
        <v>-2.2138476000000006E-4</v>
      </c>
      <c r="BX11" s="17">
        <v>-7.3316400000000023E-4</v>
      </c>
      <c r="BY11" s="17">
        <v>0</v>
      </c>
      <c r="BZ11" s="17">
        <v>2.635561519110757E-4</v>
      </c>
      <c r="CA11" s="17">
        <v>-3.0707381746642682E-3</v>
      </c>
    </row>
    <row r="12" spans="1:79" x14ac:dyDescent="0.3">
      <c r="A12" s="9" t="str">
        <v>Corporate 6% 30 Jun 2028</v>
      </c>
      <c r="B12" s="10" t="s">
        <v>21</v>
      </c>
      <c r="C12" s="11">
        <v>0.06</v>
      </c>
      <c r="D12" s="12">
        <v>46934</v>
      </c>
      <c r="E12" s="13">
        <v>15.010958904109589</v>
      </c>
      <c r="F12" s="12" t="s">
        <v>25</v>
      </c>
      <c r="G12" s="10">
        <v>10.06</v>
      </c>
      <c r="H12" s="10">
        <v>131.57</v>
      </c>
      <c r="I12" s="15">
        <v>5.16E-2</v>
      </c>
      <c r="J12" s="14">
        <v>108.74</v>
      </c>
      <c r="K12" s="15">
        <v>6.0699999999999997E-2</v>
      </c>
      <c r="L12" s="10">
        <v>99.37</v>
      </c>
      <c r="M12" s="16">
        <v>0.03</v>
      </c>
      <c r="N12" s="17">
        <v>-8.6168843112010229E-2</v>
      </c>
      <c r="O12" s="17">
        <v>2.758874379253265E-2</v>
      </c>
      <c r="P12" s="17">
        <v>-5.858009931947758E-2</v>
      </c>
      <c r="R12" s="11">
        <v>0</v>
      </c>
      <c r="S12" s="18">
        <v>0</v>
      </c>
      <c r="T12" s="18">
        <v>0</v>
      </c>
      <c r="U12" s="17">
        <v>0</v>
      </c>
      <c r="V12" s="11">
        <v>0.15</v>
      </c>
      <c r="W12" s="18">
        <v>1.5090000000000001</v>
      </c>
      <c r="X12" s="18">
        <v>19.735499999999998</v>
      </c>
      <c r="Y12" s="17">
        <v>-8.7870148979216373E-3</v>
      </c>
      <c r="AY12" s="1" t="str">
        <v>Corporate 6% 30 Jun 2028</v>
      </c>
      <c r="AZ12" s="32">
        <v>-2.0000000000000001E-4</v>
      </c>
      <c r="BA12" s="32">
        <v>0.01</v>
      </c>
      <c r="BB12" s="32">
        <v>-1E-3</v>
      </c>
      <c r="BC12" s="32">
        <v>-1.6999999999999999E-3</v>
      </c>
      <c r="BD12" s="32">
        <v>2E-3</v>
      </c>
      <c r="BE12" s="32">
        <v>0</v>
      </c>
      <c r="BG12" s="1" t="str">
        <v>Corporate 6% 30 Jun 2028</v>
      </c>
      <c r="BH12" s="17">
        <v>2.601205479452055E-2</v>
      </c>
      <c r="BI12" s="17">
        <v>2.0146314000000004E-3</v>
      </c>
      <c r="BJ12" s="17">
        <v>-9.4021500000000008E-2</v>
      </c>
      <c r="BK12" s="17">
        <v>1.0125785000000002E-2</v>
      </c>
      <c r="BL12" s="17">
        <v>1.729211865E-2</v>
      </c>
      <c r="BM12" s="17">
        <v>-1.9856860000000004E-2</v>
      </c>
      <c r="BN12" s="17">
        <v>0</v>
      </c>
      <c r="BO12" s="17">
        <v>-1.463291639981143E-4</v>
      </c>
      <c r="BP12" s="17">
        <v>-5.858009931947758E-2</v>
      </c>
      <c r="BQ12" s="17"/>
      <c r="BR12" s="1" t="str">
        <v>Corporate 6% 30 Jun 2028</v>
      </c>
      <c r="BS12" s="17">
        <v>-3.9018082191780825E-3</v>
      </c>
      <c r="BT12" s="17">
        <v>-3.0219471000000002E-4</v>
      </c>
      <c r="BU12" s="17">
        <v>1.4103225E-2</v>
      </c>
      <c r="BV12" s="17">
        <v>-1.5188677500000002E-3</v>
      </c>
      <c r="BW12" s="17">
        <v>-2.5938177975000001E-3</v>
      </c>
      <c r="BX12" s="17">
        <v>2.9785290000000006E-3</v>
      </c>
      <c r="BY12" s="17">
        <v>0</v>
      </c>
      <c r="BZ12" s="17">
        <v>2.1949374599717144E-5</v>
      </c>
      <c r="CA12" s="17">
        <v>8.7870148979216373E-3</v>
      </c>
    </row>
    <row r="13" spans="1:79" ht="14.4" thickBot="1" x14ac:dyDescent="0.35">
      <c r="A13" s="9" t="str">
        <v>Corporate 6% 30 Jun 2028</v>
      </c>
      <c r="B13" s="10" t="s">
        <v>21</v>
      </c>
      <c r="C13" s="11">
        <v>0.06</v>
      </c>
      <c r="D13" s="12">
        <v>46934</v>
      </c>
      <c r="E13" s="13">
        <v>15.010958904109589</v>
      </c>
      <c r="F13" s="12" t="s">
        <v>25</v>
      </c>
      <c r="G13" s="10">
        <v>10.06</v>
      </c>
      <c r="H13" s="10">
        <v>131.57</v>
      </c>
      <c r="I13" s="15">
        <v>5.16E-2</v>
      </c>
      <c r="J13" s="14">
        <v>108.74</v>
      </c>
      <c r="K13" s="15">
        <v>6.0199999999999997E-2</v>
      </c>
      <c r="L13" s="10">
        <v>99.85</v>
      </c>
      <c r="M13" s="16">
        <v>0.03</v>
      </c>
      <c r="N13" s="17">
        <v>-8.1754644105205054E-2</v>
      </c>
      <c r="O13" s="17">
        <v>2.758874379253265E-2</v>
      </c>
      <c r="P13" s="17">
        <v>-5.4165900312672405E-2</v>
      </c>
      <c r="R13" s="11">
        <v>0.3</v>
      </c>
      <c r="S13" s="18">
        <v>3.0180000000000002</v>
      </c>
      <c r="T13" s="18">
        <v>39.470999999999997</v>
      </c>
      <c r="U13" s="17">
        <v>-1.624977009380172E-2</v>
      </c>
      <c r="V13" s="11">
        <v>0</v>
      </c>
      <c r="W13" s="18">
        <v>0</v>
      </c>
      <c r="X13" s="18">
        <v>0</v>
      </c>
      <c r="Y13" s="17">
        <v>0</v>
      </c>
      <c r="AB13" s="3" t="s">
        <v>27</v>
      </c>
      <c r="AC13" s="3"/>
      <c r="AD13" s="3"/>
      <c r="AE13" s="3"/>
      <c r="AF13" s="3" t="s">
        <v>30</v>
      </c>
      <c r="AG13" s="3"/>
      <c r="AH13" s="3"/>
      <c r="AI13" s="3"/>
      <c r="AJ13" s="3" t="s">
        <v>2</v>
      </c>
      <c r="AK13" s="3"/>
      <c r="AL13" s="3"/>
      <c r="AM13" s="3"/>
      <c r="AP13" s="3" t="s">
        <v>33</v>
      </c>
      <c r="AQ13" s="3"/>
      <c r="AR13" s="3"/>
      <c r="AS13" s="3"/>
      <c r="AT13" s="3" t="s">
        <v>12</v>
      </c>
      <c r="AU13" s="3"/>
      <c r="AV13" s="3"/>
      <c r="AW13" s="3"/>
      <c r="AY13" s="1" t="str">
        <v>Corporate 6% 30 Jun 2028</v>
      </c>
      <c r="AZ13" s="32">
        <v>-2.0000000000000001E-4</v>
      </c>
      <c r="BA13" s="32">
        <v>0.01</v>
      </c>
      <c r="BB13" s="32">
        <v>-1E-3</v>
      </c>
      <c r="BC13" s="32">
        <v>-1.6999999999999999E-3</v>
      </c>
      <c r="BD13" s="32">
        <v>2E-3</v>
      </c>
      <c r="BE13" s="32">
        <v>-5.0000000000000001E-4</v>
      </c>
      <c r="BG13" s="1" t="str">
        <v>Corporate 6% 30 Jun 2028</v>
      </c>
      <c r="BH13" s="17">
        <v>2.601205479452055E-2</v>
      </c>
      <c r="BI13" s="17">
        <v>2.0146314000000004E-3</v>
      </c>
      <c r="BJ13" s="17">
        <v>-9.4021500000000008E-2</v>
      </c>
      <c r="BK13" s="17">
        <v>1.0125785000000002E-2</v>
      </c>
      <c r="BL13" s="17">
        <v>1.729211865E-2</v>
      </c>
      <c r="BM13" s="17">
        <v>-1.9856860000000004E-2</v>
      </c>
      <c r="BN13" s="17">
        <v>5.0464462500000003E-3</v>
      </c>
      <c r="BO13" s="17">
        <v>-7.7857640719294213E-4</v>
      </c>
      <c r="BP13" s="17">
        <v>-5.4165900312672405E-2</v>
      </c>
      <c r="BQ13" s="17"/>
      <c r="BR13" s="1" t="str">
        <v>Corporate 6% 30 Jun 2028</v>
      </c>
      <c r="BS13" s="17">
        <v>7.8036164383561649E-3</v>
      </c>
      <c r="BT13" s="17">
        <v>6.0438942000000005E-4</v>
      </c>
      <c r="BU13" s="17">
        <v>-2.8206450000000001E-2</v>
      </c>
      <c r="BV13" s="17">
        <v>3.0377355000000003E-3</v>
      </c>
      <c r="BW13" s="17">
        <v>5.1876355950000001E-3</v>
      </c>
      <c r="BX13" s="17">
        <v>-5.9570580000000012E-3</v>
      </c>
      <c r="BY13" s="17">
        <v>1.513933875E-3</v>
      </c>
      <c r="BZ13" s="17">
        <v>-2.3357292215788264E-4</v>
      </c>
      <c r="CA13" s="17">
        <v>-1.624977009380172E-2</v>
      </c>
    </row>
    <row r="14" spans="1:79" ht="14.4" thickBot="1" x14ac:dyDescent="0.35">
      <c r="R14" s="21" cm="1">
        <f t="array" ref="R14:Y14">_xlfn.BYCOL(R7:Y13,_xleta.SUM)</f>
        <v>1</v>
      </c>
      <c r="S14" s="22">
        <v>8.1690000000000005</v>
      </c>
      <c r="T14" s="22">
        <v>91.544999999999987</v>
      </c>
      <c r="U14" s="23">
        <v>-5.0251265178188648E-2</v>
      </c>
      <c r="V14" s="21">
        <v>1</v>
      </c>
      <c r="W14" s="22">
        <v>7.1885000000000012</v>
      </c>
      <c r="X14" s="22">
        <v>72.041499999999999</v>
      </c>
      <c r="Y14" s="23">
        <v>-4.8335440243914007E-2</v>
      </c>
      <c r="AA14" s="2" t="str" cm="1">
        <f t="array" ref="AA14:AE17">_xlfn.PIVOTBY(B7:B13,F7:F13,V7:V13,_xleta.SUM,,,-1,,-1)</f>
        <v/>
      </c>
      <c r="AB14" s="7" t="str">
        <v>Short</v>
      </c>
      <c r="AC14" s="7" t="str">
        <v>Mid</v>
      </c>
      <c r="AD14" s="7" t="str">
        <v>Long</v>
      </c>
      <c r="AE14" s="7" t="str">
        <v>Total</v>
      </c>
      <c r="AF14" s="7" t="s">
        <v>23</v>
      </c>
      <c r="AG14" s="7" t="s">
        <v>24</v>
      </c>
      <c r="AH14" s="7" t="s">
        <v>25</v>
      </c>
      <c r="AI14" s="7" t="s">
        <v>8</v>
      </c>
      <c r="AJ14" s="7" t="s">
        <v>23</v>
      </c>
      <c r="AK14" s="7" t="s">
        <v>24</v>
      </c>
      <c r="AL14" s="7" t="s">
        <v>25</v>
      </c>
      <c r="AM14" s="7" t="s">
        <v>8</v>
      </c>
      <c r="AP14" s="7" t="s">
        <v>23</v>
      </c>
      <c r="AQ14" s="7" t="s">
        <v>24</v>
      </c>
      <c r="AR14" s="7" t="s">
        <v>25</v>
      </c>
      <c r="AS14" s="7" t="s">
        <v>8</v>
      </c>
      <c r="AT14" s="7" t="s">
        <v>23</v>
      </c>
      <c r="AU14" s="7" t="s">
        <v>24</v>
      </c>
      <c r="AV14" s="7" t="s">
        <v>25</v>
      </c>
      <c r="AW14" s="7" t="s">
        <v>8</v>
      </c>
      <c r="BR14" s="19" t="s">
        <v>8</v>
      </c>
      <c r="BS14" s="31" cm="1">
        <f t="array" ref="BS14:CA14">_xlfn.BYCOL(_xlfn.ANCHORARRAY(BS7),_xleta.SUM)</f>
        <v>1.1216438356164401E-3</v>
      </c>
      <c r="BT14" s="31">
        <v>-3.4384549499999982E-4</v>
      </c>
      <c r="BU14" s="31">
        <v>-8.8298250000000029E-3</v>
      </c>
      <c r="BV14" s="31">
        <v>3.7717949650000002E-3</v>
      </c>
      <c r="BW14" s="31">
        <v>5.3411956225000003E-3</v>
      </c>
      <c r="BX14" s="31">
        <v>-3.2739770000000008E-3</v>
      </c>
      <c r="BY14" s="31">
        <v>1.733362875E-3</v>
      </c>
      <c r="BZ14" s="31">
        <v>-1.4361747373910852E-3</v>
      </c>
      <c r="CA14" s="31">
        <v>-1.9158249342746472E-3</v>
      </c>
    </row>
    <row r="15" spans="1:79" x14ac:dyDescent="0.3">
      <c r="R15" s="19"/>
      <c r="S15" s="19"/>
      <c r="T15" s="19"/>
      <c r="U15" s="19"/>
      <c r="V15" s="19"/>
      <c r="W15" s="19"/>
      <c r="X15" s="25" t="s">
        <v>17</v>
      </c>
      <c r="Y15" s="24">
        <f>U14-Y14</f>
        <v>-1.9158249342746403E-3</v>
      </c>
      <c r="AA15" s="1" t="str">
        <v>Government</v>
      </c>
      <c r="AB15" s="20">
        <v>0.2</v>
      </c>
      <c r="AC15" s="20">
        <v>0.2</v>
      </c>
      <c r="AD15" s="20">
        <v>0.15</v>
      </c>
      <c r="AE15" s="20">
        <v>0.55000000000000004</v>
      </c>
      <c r="AF15" s="18" cm="1">
        <f t="array" ref="AF15">SUM(IF(($B$7:$B$13=$AA15)*($F$7:$F$13=AB$6),$G$7:$G$13*$V$7:$V$13))</f>
        <v>0.88400000000000001</v>
      </c>
      <c r="AG15" s="18" cm="1">
        <f t="array" ref="AG15">SUM(IF(($B$7:$B$13=$AA15)*($F$7:$F$13=AC$6),$G$7:$G$13*$V$7:$V$13))</f>
        <v>1.494</v>
      </c>
      <c r="AH15" s="18" cm="1">
        <f t="array" ref="AH15">SUM(IF(($B$7:$B$13=$AA15)*($F$7:$F$13=AD$6),$G$7:$G$13*$V$7:$V$13))</f>
        <v>1.5315000000000001</v>
      </c>
      <c r="AI15" s="1" cm="1">
        <f t="array" ref="AI15">SUM(IF($B$7:$B$13=$AA15,$G$7:$G$13*$V$7:$V$13))</f>
        <v>3.9095000000000004</v>
      </c>
      <c r="AJ15" s="18" cm="1">
        <f t="array" ref="AJ15:AM17">AF15:AI17/AB15:AE17</f>
        <v>4.42</v>
      </c>
      <c r="AK15" s="18">
        <v>7.47</v>
      </c>
      <c r="AL15" s="18">
        <v>10.210000000000001</v>
      </c>
      <c r="AM15" s="18">
        <v>7.1081818181818184</v>
      </c>
      <c r="AO15" s="1" t="s">
        <v>20</v>
      </c>
      <c r="AP15" s="17" cm="1">
        <f t="array" ref="AP15">SUM(IF(($B$7:$B$13=$AO15)*($F$7:$F$13=AP$6),_xlfn.ANCHORARRAY($P$7)*$V$7:$V$13))</f>
        <v>-6.9573459715639944E-3</v>
      </c>
      <c r="AQ15" s="17" cm="1">
        <f t="array" ref="AQ15">SUM(IF(($B$7:$B$13=$AO15)*($F$7:$F$13=AQ$6),_xlfn.ANCHORARRAY($P$7)*$V$7:$V$13))</f>
        <v>-1.0320666062154824E-2</v>
      </c>
      <c r="AR15" s="17" cm="1">
        <f t="array" ref="AR15">SUM(IF(($B$7:$B$13=$AO15)*($F$7:$F$13=AR$6),_xlfn.ANCHORARRAY($P$7)*$V$7:$V$13))</f>
        <v>-6.5611057650249291E-3</v>
      </c>
      <c r="AS15" s="17" cm="1">
        <f t="array" ref="AS15">SUM(IF($B$7:$B$13=$AO15,_xlfn.ANCHORARRAY($P$7)*$V$7:$V$13))</f>
        <v>-2.3839117798743748E-2</v>
      </c>
      <c r="AT15" s="17" cm="1">
        <f t="array" ref="AT15:AW17">AP15:AS17/AB15:AE17</f>
        <v>-3.478672985781997E-2</v>
      </c>
      <c r="AU15" s="17">
        <v>-5.1603330310774118E-2</v>
      </c>
      <c r="AV15" s="17">
        <v>-4.3740705100166193E-2</v>
      </c>
      <c r="AW15" s="17">
        <v>-4.3343850543170449E-2</v>
      </c>
    </row>
    <row r="16" spans="1:79" x14ac:dyDescent="0.3">
      <c r="A16" s="10" t="s">
        <v>13</v>
      </c>
      <c r="B16" s="9"/>
      <c r="C16" s="9"/>
      <c r="D16" s="9"/>
      <c r="E16" s="9"/>
      <c r="F16" s="9"/>
      <c r="AA16" s="1" t="str">
        <v>Corporate</v>
      </c>
      <c r="AB16" s="20">
        <v>0.15</v>
      </c>
      <c r="AC16" s="20">
        <v>0.15</v>
      </c>
      <c r="AD16" s="20">
        <v>0.15</v>
      </c>
      <c r="AE16" s="20">
        <v>0.44999999999999996</v>
      </c>
      <c r="AF16" s="18" cm="1">
        <f t="array" ref="AF16">SUM(IF(($B$7:$B$13=$AA16)*($F$7:$F$13=AB$6),$G$7:$G$13*$V$7:$V$13))</f>
        <v>0.66</v>
      </c>
      <c r="AG16" s="18" cm="1">
        <f t="array" ref="AG16">SUM(IF(($B$7:$B$13=$AA16)*($F$7:$F$13=AC$6),$G$7:$G$13*$V$7:$V$13))</f>
        <v>1.1100000000000001</v>
      </c>
      <c r="AH16" s="18" cm="1">
        <f t="array" ref="AH16">SUM(IF(($B$7:$B$13=$AA16)*($F$7:$F$13=AD$6),$G$7:$G$13*$V$7:$V$13))</f>
        <v>1.5090000000000001</v>
      </c>
      <c r="AI16" s="1" cm="1">
        <f t="array" ref="AI16">SUM(IF($B$7:$B$13=$AA16,$G$7:$G$13*$V$7:$V$13))</f>
        <v>3.2789999999999999</v>
      </c>
      <c r="AJ16" s="18">
        <v>4.4000000000000004</v>
      </c>
      <c r="AK16" s="18">
        <v>7.4000000000000012</v>
      </c>
      <c r="AL16" s="18">
        <v>10.06</v>
      </c>
      <c r="AM16" s="18">
        <v>7.2866666666666671</v>
      </c>
      <c r="AO16" s="1" t="s">
        <v>21</v>
      </c>
      <c r="AP16" s="17" cm="1">
        <f t="array" ref="AP16">SUM(IF(($B$7:$B$13=$AO16)*($F$7:$F$13=AP$6),_xlfn.ANCHORARRAY($P$7)*$V$7:$V$13))</f>
        <v>-6.4970930232558181E-3</v>
      </c>
      <c r="AQ16" s="17" cm="1">
        <f t="array" ref="AQ16">SUM(IF(($B$7:$B$13=$AO16)*($F$7:$F$13=AQ$6),_xlfn.ANCHORARRAY($P$7)*$V$7:$V$13))</f>
        <v>-9.2122145239928004E-3</v>
      </c>
      <c r="AR16" s="17" cm="1">
        <f t="array" ref="AR16">SUM(IF(($B$7:$B$13=$AO16)*($F$7:$F$13=AR$6),_xlfn.ANCHORARRAY($P$7)*$V$7:$V$13))</f>
        <v>-8.7870148979216373E-3</v>
      </c>
      <c r="AS16" s="17" cm="1">
        <f t="array" ref="AS16">SUM(IF($B$7:$B$13=$AO16,_xlfn.ANCHORARRAY($P$7)*$V$7:$V$13))</f>
        <v>-2.4496322445170256E-2</v>
      </c>
      <c r="AT16" s="17">
        <v>-4.3313953488372123E-2</v>
      </c>
      <c r="AU16" s="17">
        <v>-6.141476349328534E-2</v>
      </c>
      <c r="AV16" s="17">
        <v>-5.8580099319477587E-2</v>
      </c>
      <c r="AW16" s="17">
        <v>-5.4436272100378352E-2</v>
      </c>
    </row>
    <row r="17" spans="1:49" x14ac:dyDescent="0.3">
      <c r="A17" s="1" t="s">
        <v>14</v>
      </c>
      <c r="AA17" s="19" t="str">
        <v>Total</v>
      </c>
      <c r="AB17" s="28">
        <v>0.35</v>
      </c>
      <c r="AC17" s="28">
        <v>0.35</v>
      </c>
      <c r="AD17" s="28">
        <v>0.3</v>
      </c>
      <c r="AE17" s="28">
        <v>1</v>
      </c>
      <c r="AF17" s="27" cm="1">
        <f t="array" ref="AF17">SUM(IF($F$7:$F$13=AF$6,$G$7:$G$13*$V$7:$V$13))</f>
        <v>1.544</v>
      </c>
      <c r="AG17" s="27" cm="1">
        <f t="array" ref="AG17">SUM(IF($F$7:$F$13=AG$6,$G$7:$G$13*$V$7:$V$13))</f>
        <v>2.6040000000000001</v>
      </c>
      <c r="AH17" s="27" cm="1">
        <f t="array" ref="AH17">SUM(IF($F$7:$F$13=AH$6,$G$7:$G$13*$V$7:$V$13))</f>
        <v>3.0405000000000002</v>
      </c>
      <c r="AI17" s="27">
        <f>SUMPRODUCT($G$7:$G$13,$V$7:$V$13)</f>
        <v>7.1885000000000012</v>
      </c>
      <c r="AJ17" s="27">
        <v>4.4114285714285719</v>
      </c>
      <c r="AK17" s="27">
        <v>7.44</v>
      </c>
      <c r="AL17" s="27">
        <v>10.135000000000002</v>
      </c>
      <c r="AM17" s="27">
        <v>7.1885000000000012</v>
      </c>
      <c r="AO17" s="19" t="s">
        <v>8</v>
      </c>
      <c r="AP17" s="31" cm="1">
        <f t="array" ref="AP17">SUM(IF($F$7:$F$13=AP$6,_xlfn.ANCHORARRAY($P$7)*$V$7:$V$13))</f>
        <v>-1.3454438994819812E-2</v>
      </c>
      <c r="AQ17" s="31" cm="1">
        <f t="array" ref="AQ17">SUM(IF($F$7:$F$13=AQ$6,_xlfn.ANCHORARRAY($P$7)*$V$7:$V$13))</f>
        <v>-1.9532880586147626E-2</v>
      </c>
      <c r="AR17" s="31" cm="1">
        <f t="array" ref="AR17">SUM(IF($F$7:$F$13=AR$6,_xlfn.ANCHORARRAY($P$7)*$V$7:$V$13))</f>
        <v>-1.5348120662946566E-2</v>
      </c>
      <c r="AS17" s="31">
        <f>SUMPRODUCT(_xlfn.ANCHORARRAY($P$7),$V$7:$V$13)</f>
        <v>-4.8335440243914007E-2</v>
      </c>
      <c r="AT17" s="31">
        <v>-3.8441254270913751E-2</v>
      </c>
      <c r="AU17" s="31">
        <v>-5.5808230246136077E-2</v>
      </c>
      <c r="AV17" s="31">
        <v>-5.116040220982189E-2</v>
      </c>
      <c r="AW17" s="31">
        <v>-4.8335440243914007E-2</v>
      </c>
    </row>
  </sheetData>
  <mergeCells count="31">
    <mergeCell ref="BS5:CA5"/>
    <mergeCell ref="BG5:BP5"/>
    <mergeCell ref="BR3:CA3"/>
    <mergeCell ref="AY1:CA1"/>
    <mergeCell ref="BG3:BP3"/>
    <mergeCell ref="AY3:BE3"/>
    <mergeCell ref="AO11:AW11"/>
    <mergeCell ref="AO3:AW3"/>
    <mergeCell ref="A1:AW1"/>
    <mergeCell ref="AZ5:BE5"/>
    <mergeCell ref="AA3:AM3"/>
    <mergeCell ref="R3:Y3"/>
    <mergeCell ref="A3:P3"/>
    <mergeCell ref="AA11:AM11"/>
    <mergeCell ref="AP13:AS13"/>
    <mergeCell ref="AT13:AW13"/>
    <mergeCell ref="AF5:AI5"/>
    <mergeCell ref="AF13:AI13"/>
    <mergeCell ref="AJ5:AM5"/>
    <mergeCell ref="AJ13:AM13"/>
    <mergeCell ref="AT5:AW5"/>
    <mergeCell ref="AP5:AS5"/>
    <mergeCell ref="AB5:AE5"/>
    <mergeCell ref="AB13:AE13"/>
    <mergeCell ref="K5:M5"/>
    <mergeCell ref="I5:J5"/>
    <mergeCell ref="N5:P5"/>
    <mergeCell ref="R4:U4"/>
    <mergeCell ref="V4:Y4"/>
    <mergeCell ref="S5:U5"/>
    <mergeCell ref="W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2025-05-09T22:34:39Z</dcterms:created>
  <dcterms:modified xsi:type="dcterms:W3CDTF">2025-05-10T01:01:41Z</dcterms:modified>
</cp:coreProperties>
</file>