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CIPM\"/>
    </mc:Choice>
  </mc:AlternateContent>
  <xr:revisionPtr revIDLastSave="0" documentId="13_ncr:1_{AAFED076-3D38-4716-868C-C694F09F12C8}" xr6:coauthVersionLast="47" xr6:coauthVersionMax="47" xr10:uidLastSave="{00000000-0000-0000-0000-000000000000}"/>
  <bookViews>
    <workbookView xWindow="-108" yWindow="-108" windowWidth="41496" windowHeight="16776" xr2:uid="{A0219E52-BC5C-483A-9CFD-680264FDC4D2}"/>
  </bookViews>
  <sheets>
    <sheet name="Worked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" i="1" l="1" a="1"/>
  <c r="AT13" i="1" s="1"/>
  <c r="AS15" i="1"/>
  <c r="AQ15" i="1" a="1"/>
  <c r="AQ15" i="1" s="1"/>
  <c r="AR15" i="1" a="1"/>
  <c r="AR15" i="1" s="1"/>
  <c r="AP15" i="1" a="1"/>
  <c r="AP15" i="1" s="1"/>
  <c r="AS14" i="1" a="1"/>
  <c r="AS14" i="1" s="1"/>
  <c r="AS13" i="1" a="1"/>
  <c r="AS13" i="1" s="1"/>
  <c r="AP14" i="1" a="1"/>
  <c r="AP14" i="1" s="1"/>
  <c r="AQ14" i="1" a="1"/>
  <c r="AQ14" i="1" s="1"/>
  <c r="AR14" i="1" a="1"/>
  <c r="AR14" i="1" s="1"/>
  <c r="AQ13" i="1" a="1"/>
  <c r="AQ13" i="1" s="1"/>
  <c r="AR13" i="1" a="1"/>
  <c r="AR13" i="1" s="1"/>
  <c r="AP13" i="1" a="1"/>
  <c r="AP13" i="1" s="1"/>
  <c r="AT5" i="1" a="1"/>
  <c r="AT5" i="1" s="1"/>
  <c r="AS7" i="1"/>
  <c r="AQ7" i="1" a="1"/>
  <c r="AQ7" i="1" s="1"/>
  <c r="AR7" i="1" a="1"/>
  <c r="AR7" i="1" s="1"/>
  <c r="AP7" i="1" a="1"/>
  <c r="AP7" i="1"/>
  <c r="AS6" i="1" a="1"/>
  <c r="AS6" i="1" s="1"/>
  <c r="AS5" i="1" a="1"/>
  <c r="AS5" i="1" s="1"/>
  <c r="AQ5" i="1" a="1"/>
  <c r="AQ5" i="1" s="1"/>
  <c r="AR5" i="1" a="1"/>
  <c r="AR5" i="1" s="1"/>
  <c r="AQ6" i="1" a="1"/>
  <c r="AQ6" i="1" s="1"/>
  <c r="AR6" i="1" a="1"/>
  <c r="AR6" i="1" s="1"/>
  <c r="AP6" i="1" a="1"/>
  <c r="AP6" i="1" s="1"/>
  <c r="AP5" i="1" a="1"/>
  <c r="AP5" i="1" s="1"/>
  <c r="AI15" i="1"/>
  <c r="AI7" i="1"/>
  <c r="AG15" i="1" a="1"/>
  <c r="AG15" i="1" s="1"/>
  <c r="AH15" i="1" a="1"/>
  <c r="AH15" i="1" s="1"/>
  <c r="AF15" i="1" a="1"/>
  <c r="AF15" i="1" s="1"/>
  <c r="AG7" i="1" a="1"/>
  <c r="AG7" i="1" s="1"/>
  <c r="AH7" i="1" a="1"/>
  <c r="AH7" i="1" s="1"/>
  <c r="AF7" i="1" a="1"/>
  <c r="AF7" i="1" s="1"/>
  <c r="AA4" i="1" a="1"/>
  <c r="AA12" i="1" a="1"/>
  <c r="E5" i="1" a="1"/>
  <c r="E5" i="1" s="1"/>
  <c r="A5" i="1" a="1"/>
  <c r="A5" i="1" s="1"/>
  <c r="W5" i="1" a="1"/>
  <c r="W5" i="1" s="1"/>
  <c r="S5" i="1" a="1"/>
  <c r="S5" i="1" s="1"/>
  <c r="O5" i="1" a="1"/>
  <c r="O5" i="1" s="1"/>
  <c r="N5" i="1" a="1"/>
  <c r="N5" i="1" s="1"/>
  <c r="AA4" i="1" l="1"/>
  <c r="AG5" i="1" a="1"/>
  <c r="AG5" i="1" s="1"/>
  <c r="AH5" i="1" a="1"/>
  <c r="AH5" i="1" s="1"/>
  <c r="AF5" i="1" a="1"/>
  <c r="AF5" i="1" s="1"/>
  <c r="AG6" i="1" a="1"/>
  <c r="AG6" i="1" s="1"/>
  <c r="AH6" i="1" a="1"/>
  <c r="AH6" i="1" s="1"/>
  <c r="AF6" i="1" a="1"/>
  <c r="AF6" i="1" s="1"/>
  <c r="AI6" i="1" a="1"/>
  <c r="AI6" i="1" s="1"/>
  <c r="AI5" i="1" a="1"/>
  <c r="AI5" i="1" s="1"/>
  <c r="AA12" i="1"/>
  <c r="AG14" i="1" a="1"/>
  <c r="AG14" i="1" s="1"/>
  <c r="AF13" i="1" a="1"/>
  <c r="AF13" i="1" s="1"/>
  <c r="AG13" i="1" a="1"/>
  <c r="AG13" i="1" s="1"/>
  <c r="AH13" i="1" a="1"/>
  <c r="AH13" i="1" s="1"/>
  <c r="AH14" i="1" a="1"/>
  <c r="AH14" i="1" s="1"/>
  <c r="AF14" i="1" a="1"/>
  <c r="AF14" i="1" s="1"/>
  <c r="AI14" i="1" a="1"/>
  <c r="AI14" i="1" s="1"/>
  <c r="AI13" i="1" a="1"/>
  <c r="AI13" i="1" s="1"/>
  <c r="AJ13" i="1" s="1" a="1"/>
  <c r="AJ13" i="1" s="1"/>
  <c r="P5" i="1" a="1"/>
  <c r="P5" i="1" s="1"/>
  <c r="AJ5" i="1" l="1" a="1"/>
  <c r="AJ5" i="1" s="1"/>
  <c r="Y5" i="1" a="1"/>
  <c r="Y5" i="1" s="1"/>
  <c r="U5" i="1" a="1"/>
  <c r="U5" i="1" s="1"/>
  <c r="R12" i="1" s="1" a="1"/>
  <c r="Y13" i="1" l="1"/>
  <c r="R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<sst xmlns="http://schemas.openxmlformats.org/spreadsheetml/2006/main" count="100" uniqueCount="34">
  <si>
    <t>Bond</t>
  </si>
  <si>
    <t>Exhibit 2: Bonds Universe</t>
  </si>
  <si>
    <t>Duration</t>
  </si>
  <si>
    <t>Convexity</t>
  </si>
  <si>
    <t>YTM</t>
  </si>
  <si>
    <t>Price</t>
  </si>
  <si>
    <t>Coupon</t>
  </si>
  <si>
    <t>Income</t>
  </si>
  <si>
    <t>Total</t>
  </si>
  <si>
    <t>Weight</t>
  </si>
  <si>
    <t>Portfolio</t>
  </si>
  <si>
    <t>Benchmark</t>
  </si>
  <si>
    <t>Return</t>
  </si>
  <si>
    <t>Provided</t>
  </si>
  <si>
    <t>Formula</t>
  </si>
  <si>
    <t>Rate of Return</t>
  </si>
  <si>
    <t>Contribution to</t>
  </si>
  <si>
    <t>Excess</t>
  </si>
  <si>
    <t>Type</t>
  </si>
  <si>
    <t>Maturity</t>
  </si>
  <si>
    <t>Government</t>
  </si>
  <si>
    <t>Corporate</t>
  </si>
  <si>
    <t>Bucket</t>
  </si>
  <si>
    <t>Short</t>
  </si>
  <si>
    <t>Mid</t>
  </si>
  <si>
    <t>Long</t>
  </si>
  <si>
    <t>TTM</t>
  </si>
  <si>
    <t>Weights</t>
  </si>
  <si>
    <t>Exhibit 4: Portfolio Exposure</t>
  </si>
  <si>
    <t>Exhibit 5: Benchmark Exposure</t>
  </si>
  <si>
    <t>Partial Duration</t>
  </si>
  <si>
    <t>Exhibit 3: Portfolio and Benchmark Weights</t>
  </si>
  <si>
    <t>Exhibit 6: Portfolio Returns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</si>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</sst>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71" formatCode="[$-409]mmm\ d\,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1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15" fontId="2" fillId="2" borderId="0" xfId="0" applyNumberFormat="1" applyFont="1" applyFill="1"/>
    <xf numFmtId="1" fontId="2" fillId="0" borderId="0" xfId="0" applyNumberFormat="1" applyFont="1" applyFill="1"/>
    <xf numFmtId="2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0" fontId="2" fillId="0" borderId="0" xfId="1" applyNumberFormat="1" applyFont="1"/>
    <xf numFmtId="2" fontId="2" fillId="0" borderId="0" xfId="0" applyNumberFormat="1" applyFont="1"/>
    <xf numFmtId="0" fontId="3" fillId="0" borderId="0" xfId="0" applyFont="1"/>
    <xf numFmtId="9" fontId="2" fillId="0" borderId="0" xfId="1" applyFont="1"/>
    <xf numFmtId="9" fontId="3" fillId="0" borderId="0" xfId="0" applyNumberFormat="1" applyFont="1" applyFill="1"/>
    <xf numFmtId="2" fontId="3" fillId="0" borderId="0" xfId="0" applyNumberFormat="1" applyFont="1" applyFill="1"/>
    <xf numFmtId="10" fontId="3" fillId="0" borderId="0" xfId="1" applyNumberFormat="1" applyFont="1" applyFill="1"/>
    <xf numFmtId="1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9" fontId="3" fillId="0" borderId="0" xfId="1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E137E3AC-C328-4866-AEEC-761A0FBDC4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BF49-FE1B-4160-A766-CE0F833F361B}">
  <dimension ref="A1:AW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V20" sqref="AV20"/>
    </sheetView>
  </sheetViews>
  <sheetFormatPr defaultRowHeight="13.8" x14ac:dyDescent="0.3"/>
  <cols>
    <col min="1" max="1" width="23" style="1" bestFit="1" customWidth="1"/>
    <col min="2" max="2" width="10.33203125" style="1" bestFit="1" customWidth="1"/>
    <col min="3" max="3" width="7.21875" style="1" bestFit="1" customWidth="1"/>
    <col min="4" max="4" width="8.6640625" style="1" bestFit="1" customWidth="1"/>
    <col min="5" max="5" width="4.109375" style="1" bestFit="1" customWidth="1"/>
    <col min="6" max="6" width="6.33203125" style="1" bestFit="1" customWidth="1"/>
    <col min="7" max="7" width="7.77734375" style="1" bestFit="1" customWidth="1"/>
    <col min="8" max="8" width="8.88671875" style="1" bestFit="1" customWidth="1"/>
    <col min="9" max="9" width="5" style="1" bestFit="1" customWidth="1"/>
    <col min="10" max="10" width="6.44140625" style="1" bestFit="1" customWidth="1"/>
    <col min="11" max="11" width="5.88671875" style="1" bestFit="1" customWidth="1"/>
    <col min="12" max="12" width="7" style="1" bestFit="1" customWidth="1"/>
    <col min="13" max="13" width="7.21875" style="1" bestFit="1" customWidth="1"/>
    <col min="14" max="14" width="6.44140625" style="1" bestFit="1" customWidth="1"/>
    <col min="15" max="15" width="7" style="1" bestFit="1" customWidth="1"/>
    <col min="16" max="16" width="6.44140625" style="1" bestFit="1" customWidth="1"/>
    <col min="17" max="17" width="8.88671875" style="1"/>
    <col min="18" max="18" width="6.44140625" style="1" bestFit="1" customWidth="1"/>
    <col min="19" max="19" width="7.77734375" style="1" bestFit="1" customWidth="1"/>
    <col min="20" max="20" width="8.88671875" style="1" bestFit="1" customWidth="1"/>
    <col min="21" max="21" width="6.5546875" style="1" bestFit="1" customWidth="1"/>
    <col min="22" max="22" width="6.44140625" style="1" bestFit="1" customWidth="1"/>
    <col min="23" max="23" width="7.77734375" style="1" bestFit="1" customWidth="1"/>
    <col min="24" max="24" width="8.88671875" style="1" bestFit="1" customWidth="1"/>
    <col min="25" max="25" width="6.5546875" style="1" bestFit="1" customWidth="1"/>
    <col min="26" max="26" width="8.88671875" style="1"/>
    <col min="27" max="27" width="10.33203125" style="1" bestFit="1" customWidth="1"/>
    <col min="28" max="28" width="5.21875" style="1" bestFit="1" customWidth="1"/>
    <col min="29" max="29" width="4.44140625" style="1" bestFit="1" customWidth="1"/>
    <col min="30" max="30" width="4.77734375" style="1" bestFit="1" customWidth="1"/>
    <col min="31" max="31" width="5.44140625" style="1" bestFit="1" customWidth="1"/>
    <col min="32" max="32" width="5.21875" style="1" bestFit="1" customWidth="1"/>
    <col min="33" max="33" width="4.5546875" style="1" bestFit="1" customWidth="1"/>
    <col min="34" max="34" width="4.77734375" style="1" bestFit="1" customWidth="1"/>
    <col min="35" max="35" width="7" style="1" bestFit="1" customWidth="1"/>
    <col min="36" max="36" width="5.21875" style="1" bestFit="1" customWidth="1"/>
    <col min="37" max="37" width="4.5546875" style="1" bestFit="1" customWidth="1"/>
    <col min="38" max="38" width="5.5546875" style="1" bestFit="1" customWidth="1"/>
    <col min="39" max="39" width="4.88671875" style="1" bestFit="1" customWidth="1"/>
    <col min="40" max="40" width="8.88671875" style="1"/>
    <col min="41" max="41" width="10.33203125" style="1" bestFit="1" customWidth="1"/>
    <col min="42" max="49" width="6.44140625" style="1" bestFit="1" customWidth="1"/>
    <col min="50" max="16384" width="8.88671875" style="1"/>
  </cols>
  <sheetData>
    <row r="1" spans="1:49" s="19" customFormat="1" ht="14.4" customHeight="1" x14ac:dyDescent="0.3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R1" s="26" t="s">
        <v>31</v>
      </c>
      <c r="S1" s="26"/>
      <c r="T1" s="26"/>
      <c r="U1" s="26"/>
      <c r="V1" s="26"/>
      <c r="W1" s="26"/>
      <c r="X1" s="26"/>
      <c r="Y1" s="26"/>
      <c r="AA1" s="26" t="s">
        <v>28</v>
      </c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O1" s="26" t="s">
        <v>32</v>
      </c>
      <c r="AP1" s="26"/>
      <c r="AQ1" s="26"/>
      <c r="AR1" s="26"/>
      <c r="AS1" s="26"/>
      <c r="AT1" s="26"/>
      <c r="AU1" s="26"/>
      <c r="AV1" s="26"/>
      <c r="AW1" s="26"/>
    </row>
    <row r="2" spans="1:49" s="8" customFormat="1" ht="14.4" thickBot="1" x14ac:dyDescent="0.35">
      <c r="I2" s="7"/>
      <c r="J2" s="7"/>
      <c r="K2" s="7"/>
      <c r="L2" s="7"/>
      <c r="M2" s="7"/>
      <c r="N2" s="7"/>
      <c r="O2" s="7"/>
      <c r="P2" s="7"/>
      <c r="R2" s="3" t="s">
        <v>10</v>
      </c>
      <c r="S2" s="3"/>
      <c r="T2" s="3"/>
      <c r="U2" s="3"/>
      <c r="V2" s="3" t="s">
        <v>11</v>
      </c>
      <c r="W2" s="3"/>
      <c r="X2" s="3"/>
      <c r="Y2" s="3"/>
    </row>
    <row r="3" spans="1:49" s="8" customFormat="1" ht="14.4" thickBot="1" x14ac:dyDescent="0.35">
      <c r="I3" s="4">
        <v>41455</v>
      </c>
      <c r="J3" s="4"/>
      <c r="K3" s="4">
        <v>41639</v>
      </c>
      <c r="L3" s="4"/>
      <c r="M3" s="4"/>
      <c r="N3" s="3" t="s">
        <v>15</v>
      </c>
      <c r="O3" s="3"/>
      <c r="P3" s="3"/>
      <c r="R3" s="5"/>
      <c r="S3" s="6" t="s">
        <v>16</v>
      </c>
      <c r="T3" s="6"/>
      <c r="U3" s="6"/>
      <c r="V3" s="5"/>
      <c r="W3" s="6" t="s">
        <v>16</v>
      </c>
      <c r="X3" s="6"/>
      <c r="Y3" s="6"/>
      <c r="AB3" s="3" t="s">
        <v>27</v>
      </c>
      <c r="AC3" s="3"/>
      <c r="AD3" s="3"/>
      <c r="AE3" s="3"/>
      <c r="AF3" s="3" t="s">
        <v>30</v>
      </c>
      <c r="AG3" s="3"/>
      <c r="AH3" s="3"/>
      <c r="AI3" s="3"/>
      <c r="AJ3" s="3" t="s">
        <v>2</v>
      </c>
      <c r="AK3" s="3"/>
      <c r="AL3" s="3"/>
      <c r="AM3" s="3"/>
      <c r="AP3" s="3" t="s">
        <v>33</v>
      </c>
      <c r="AQ3" s="3"/>
      <c r="AR3" s="3"/>
      <c r="AS3" s="3"/>
      <c r="AT3" s="3" t="s">
        <v>12</v>
      </c>
      <c r="AU3" s="3"/>
      <c r="AV3" s="3"/>
      <c r="AW3" s="3"/>
    </row>
    <row r="4" spans="1:49" s="8" customFormat="1" ht="14.4" thickBot="1" x14ac:dyDescent="0.35">
      <c r="A4" s="7" t="s">
        <v>0</v>
      </c>
      <c r="B4" s="7" t="s">
        <v>18</v>
      </c>
      <c r="C4" s="7" t="s">
        <v>6</v>
      </c>
      <c r="D4" s="7" t="s">
        <v>19</v>
      </c>
      <c r="E4" s="7" t="s">
        <v>26</v>
      </c>
      <c r="F4" s="7" t="s">
        <v>22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4</v>
      </c>
      <c r="L4" s="7" t="s">
        <v>5</v>
      </c>
      <c r="M4" s="7" t="s">
        <v>6</v>
      </c>
      <c r="N4" s="7" t="s">
        <v>5</v>
      </c>
      <c r="O4" s="7" t="s">
        <v>7</v>
      </c>
      <c r="P4" s="7" t="s">
        <v>8</v>
      </c>
      <c r="R4" s="7" t="s">
        <v>9</v>
      </c>
      <c r="S4" s="7" t="s">
        <v>2</v>
      </c>
      <c r="T4" s="7" t="s">
        <v>3</v>
      </c>
      <c r="U4" s="7" t="s">
        <v>12</v>
      </c>
      <c r="V4" s="7" t="s">
        <v>9</v>
      </c>
      <c r="W4" s="7" t="s">
        <v>2</v>
      </c>
      <c r="X4" s="7" t="s">
        <v>3</v>
      </c>
      <c r="Y4" s="7" t="s">
        <v>12</v>
      </c>
      <c r="AA4" s="7" t="str" cm="1">
        <f t="array" ref="AA4:AE7">_xlfn.PIVOTBY(B5:B11,F5:F11,R5:R11,_xleta.SUM,,,-1,,-1)</f>
        <v/>
      </c>
      <c r="AB4" s="7" t="str">
        <v>Short</v>
      </c>
      <c r="AC4" s="7" t="str">
        <v>Mid</v>
      </c>
      <c r="AD4" s="7" t="str">
        <v>Long</v>
      </c>
      <c r="AE4" s="7" t="str">
        <v>Total</v>
      </c>
      <c r="AF4" s="7" t="s">
        <v>23</v>
      </c>
      <c r="AG4" s="7" t="s">
        <v>24</v>
      </c>
      <c r="AH4" s="7" t="s">
        <v>25</v>
      </c>
      <c r="AI4" s="7" t="s">
        <v>8</v>
      </c>
      <c r="AJ4" s="7" t="s">
        <v>23</v>
      </c>
      <c r="AK4" s="7" t="s">
        <v>24</v>
      </c>
      <c r="AL4" s="7" t="s">
        <v>25</v>
      </c>
      <c r="AM4" s="7" t="s">
        <v>8</v>
      </c>
      <c r="AO4" s="7"/>
      <c r="AP4" s="7" t="s">
        <v>23</v>
      </c>
      <c r="AQ4" s="7" t="s">
        <v>24</v>
      </c>
      <c r="AR4" s="7" t="s">
        <v>25</v>
      </c>
      <c r="AS4" s="7" t="s">
        <v>8</v>
      </c>
      <c r="AT4" s="7" t="s">
        <v>23</v>
      </c>
      <c r="AU4" s="7" t="s">
        <v>24</v>
      </c>
      <c r="AV4" s="7" t="s">
        <v>25</v>
      </c>
      <c r="AW4" s="7" t="s">
        <v>8</v>
      </c>
    </row>
    <row r="5" spans="1:49" x14ac:dyDescent="0.3">
      <c r="A5" s="9" t="str" cm="1">
        <f t="array" ref="A5:A11">B5:B11&amp;" "&amp;TEXT(C5:C11,"0%")&amp;" "&amp;TEXT(D5:D11,"DD MMM YYYY")</f>
        <v>Government 5% 30 Jun 2018</v>
      </c>
      <c r="B5" s="10" t="s">
        <v>20</v>
      </c>
      <c r="C5" s="11">
        <v>0.05</v>
      </c>
      <c r="D5" s="12">
        <v>43281</v>
      </c>
      <c r="E5" s="13" cm="1">
        <f t="array" ref="E5:E11">(D5:D11-I3)/365</f>
        <v>5.0027397260273974</v>
      </c>
      <c r="F5" s="12" t="s">
        <v>23</v>
      </c>
      <c r="G5" s="10">
        <v>4.42</v>
      </c>
      <c r="H5" s="10">
        <v>22.99</v>
      </c>
      <c r="I5" s="10">
        <v>3.78</v>
      </c>
      <c r="J5" s="14">
        <v>105.5</v>
      </c>
      <c r="K5" s="15">
        <v>5.1700000000000003E-2</v>
      </c>
      <c r="L5" s="10">
        <v>99.33</v>
      </c>
      <c r="M5" s="16">
        <v>2.5000000000000001E-2</v>
      </c>
      <c r="N5" s="17" cm="1">
        <f t="array" ref="N5:N11">L5:L11/J5:J11-1</f>
        <v>-5.8483412322274941E-2</v>
      </c>
      <c r="O5" s="17" cm="1">
        <f t="array" ref="O5:O11">M5:M11*100/J5:J11</f>
        <v>2.3696682464454975E-2</v>
      </c>
      <c r="P5" s="17" cm="1">
        <f t="array" ref="P5:P11">_xlfn.ANCHORARRAY(N5)+_xlfn.ANCHORARRAY(O5)</f>
        <v>-3.478672985781997E-2</v>
      </c>
      <c r="R5" s="11">
        <v>0.1</v>
      </c>
      <c r="S5" s="18" cm="1">
        <f t="array" ref="S5:T11">R5:R11*G5:H11</f>
        <v>0.442</v>
      </c>
      <c r="T5" s="18">
        <v>2.2989999999999999</v>
      </c>
      <c r="U5" s="17" cm="1">
        <f t="array" ref="U5:U11">R5:R11*P5:P11</f>
        <v>-3.4786729857819972E-3</v>
      </c>
      <c r="V5" s="11">
        <v>0.2</v>
      </c>
      <c r="W5" s="18" cm="1">
        <f t="array" ref="W5:X11">V5:V11*G5:H11</f>
        <v>0.88400000000000001</v>
      </c>
      <c r="X5" s="18">
        <v>4.5979999999999999</v>
      </c>
      <c r="Y5" s="17" cm="1">
        <f t="array" ref="Y5:Y11">V5:V11*P5:P11</f>
        <v>-6.9573459715639944E-3</v>
      </c>
      <c r="AA5" s="1" t="str">
        <v>Government</v>
      </c>
      <c r="AB5" s="20">
        <v>0.1</v>
      </c>
      <c r="AC5" s="20">
        <v>0.1</v>
      </c>
      <c r="AD5" s="20">
        <v>0.2</v>
      </c>
      <c r="AE5" s="20">
        <v>0.4</v>
      </c>
      <c r="AF5" s="18" cm="1">
        <f t="array" ref="AF5">SUM(IF(($B$5:$B$11=$AA5)*($F$5:$F$11=AB$4),$G$5:$G$11*$R$5:$R$11))</f>
        <v>0.442</v>
      </c>
      <c r="AG5" s="18" cm="1">
        <f t="array" ref="AG5">SUM(IF(($B$5:$B$11=$AA5)*($F$5:$F$11=AC$4),$G$5:$G$11*$R$5:$R$11))</f>
        <v>0.747</v>
      </c>
      <c r="AH5" s="18" cm="1">
        <f t="array" ref="AH5">SUM(IF(($B$5:$B$11=$AA5)*($F$5:$F$11=AD$4),$G$5:$G$11*$R$5:$R$11))</f>
        <v>2.0420000000000003</v>
      </c>
      <c r="AI5" s="18" cm="1">
        <f t="array" ref="AI5">SUM(IF($B$5:$B$11=$AA5,$G$5:$G$11*$R$5:$R$11))</f>
        <v>3.2310000000000003</v>
      </c>
      <c r="AJ5" s="18" cm="1">
        <f t="array" ref="AJ5:AM7">AF5:AI7/AB5:AE7</f>
        <v>4.42</v>
      </c>
      <c r="AK5" s="18">
        <v>7.47</v>
      </c>
      <c r="AL5" s="18">
        <v>10.210000000000001</v>
      </c>
      <c r="AM5" s="18">
        <v>8.0775000000000006</v>
      </c>
      <c r="AO5" s="1" t="s">
        <v>20</v>
      </c>
      <c r="AP5" s="17" cm="1">
        <f t="array" ref="AP5">SUM(IF(($B$5:$B$11=$AO5)*($F$5:$F$11=AP$4),_xlfn.ANCHORARRAY($P$5)*$R$5:$R$11))</f>
        <v>-3.4786729857819972E-3</v>
      </c>
      <c r="AQ5" s="17" cm="1">
        <f t="array" ref="AQ5">SUM(IF(($B$5:$B$11=$AO5)*($F$5:$F$11=AQ$4),_xlfn.ANCHORARRAY($P$5)*$R$5:$R$11))</f>
        <v>-5.1603330310774119E-3</v>
      </c>
      <c r="AR5" s="17" cm="1">
        <f t="array" ref="AR5">SUM(IF(($B$5:$B$11=$AO5)*($F$5:$F$11=AR$4),_xlfn.ANCHORARRAY($P$5)*$R$5:$R$11))</f>
        <v>-8.7481410200332382E-3</v>
      </c>
      <c r="AS5" s="17" cm="1">
        <f t="array" ref="AS5">SUM(IF($B$5:$B$11=$AO5,_xlfn.ANCHORARRAY($P$5)*$R$5:$R$11))</f>
        <v>-1.7387147036892647E-2</v>
      </c>
      <c r="AT5" s="17" cm="1">
        <f t="array" ref="AT5:AW7">AP5:AS7/AB5:AE7</f>
        <v>-3.478672985781997E-2</v>
      </c>
      <c r="AU5" s="17">
        <v>-5.1603330310774118E-2</v>
      </c>
      <c r="AV5" s="17">
        <v>-4.3740705100166186E-2</v>
      </c>
      <c r="AW5" s="17">
        <v>-4.3467867592231618E-2</v>
      </c>
    </row>
    <row r="6" spans="1:49" x14ac:dyDescent="0.3">
      <c r="A6" s="9" t="str">
        <v>Government 7% 30 Jun 2023</v>
      </c>
      <c r="B6" s="10" t="s">
        <v>20</v>
      </c>
      <c r="C6" s="11">
        <v>7.0000000000000007E-2</v>
      </c>
      <c r="D6" s="12">
        <v>45107</v>
      </c>
      <c r="E6" s="13">
        <v>10.005479452054795</v>
      </c>
      <c r="F6" s="12" t="s">
        <v>24</v>
      </c>
      <c r="G6" s="10">
        <v>7.47</v>
      </c>
      <c r="H6" s="10">
        <v>69.31</v>
      </c>
      <c r="I6" s="10">
        <v>4.3499999999999996</v>
      </c>
      <c r="J6" s="14">
        <v>121.31</v>
      </c>
      <c r="K6" s="15">
        <v>5.4300000000000001E-2</v>
      </c>
      <c r="L6" s="10">
        <v>111.55</v>
      </c>
      <c r="M6" s="16">
        <v>3.5000000000000003E-2</v>
      </c>
      <c r="N6" s="17">
        <v>-8.0455032561206896E-2</v>
      </c>
      <c r="O6" s="17">
        <v>2.8851702250432779E-2</v>
      </c>
      <c r="P6" s="17">
        <v>-5.1603330310774118E-2</v>
      </c>
      <c r="R6" s="11">
        <v>0.1</v>
      </c>
      <c r="S6" s="18">
        <v>0.747</v>
      </c>
      <c r="T6" s="18">
        <v>6.9310000000000009</v>
      </c>
      <c r="U6" s="17">
        <v>-5.1603330310774119E-3</v>
      </c>
      <c r="V6" s="11">
        <v>0.2</v>
      </c>
      <c r="W6" s="18">
        <v>1.494</v>
      </c>
      <c r="X6" s="18">
        <v>13.862000000000002</v>
      </c>
      <c r="Y6" s="17">
        <v>-1.0320666062154824E-2</v>
      </c>
      <c r="AA6" s="1" t="str">
        <v>Corporate</v>
      </c>
      <c r="AB6" s="20">
        <v>0.1</v>
      </c>
      <c r="AC6" s="20">
        <v>0.2</v>
      </c>
      <c r="AD6" s="20">
        <v>0.3</v>
      </c>
      <c r="AE6" s="20">
        <v>0.60000000000000009</v>
      </c>
      <c r="AF6" s="18" cm="1">
        <f t="array" ref="AF6">SUM(IF(($B$5:$B$11=$AA6)*($F$5:$F$11=AB$4),$G$5:$G$11*$R$5:$R$11))</f>
        <v>0.44000000000000006</v>
      </c>
      <c r="AG6" s="18" cm="1">
        <f t="array" ref="AG6">SUM(IF(($B$5:$B$11=$AA6)*($F$5:$F$11=AC$4),$G$5:$G$11*$R$5:$R$11))</f>
        <v>1.4800000000000002</v>
      </c>
      <c r="AH6" s="18" cm="1">
        <f t="array" ref="AH6">SUM(IF(($B$5:$B$11=$AA6)*($F$5:$F$11=AD$4),$G$5:$G$11*$R$5:$R$11))</f>
        <v>3.0180000000000002</v>
      </c>
      <c r="AI6" s="18" cm="1">
        <f t="array" ref="AI6">SUM(IF($B$5:$B$11=$AA6,$G$5:$G$11*$R$5:$R$11))</f>
        <v>4.9380000000000006</v>
      </c>
      <c r="AJ6" s="18">
        <v>4.4000000000000004</v>
      </c>
      <c r="AK6" s="18">
        <v>7.4</v>
      </c>
      <c r="AL6" s="18">
        <v>10.06</v>
      </c>
      <c r="AM6" s="18">
        <v>8.23</v>
      </c>
      <c r="AO6" s="1" t="s">
        <v>21</v>
      </c>
      <c r="AP6" s="17" cm="1">
        <f t="array" ref="AP6">SUM(IF(($B$5:$B$11=$AO6)*($F$5:$F$11=AP$4),_xlfn.ANCHORARRAY($P$5)*$R$5:$R$11))</f>
        <v>-4.3313953488372126E-3</v>
      </c>
      <c r="AQ6" s="17" cm="1">
        <f t="array" ref="AQ6">SUM(IF(($B$5:$B$11=$AO6)*($F$5:$F$11=AQ$4),_xlfn.ANCHORARRAY($P$5)*$R$5:$R$11))</f>
        <v>-1.2282952698657069E-2</v>
      </c>
      <c r="AR6" s="17" cm="1">
        <f t="array" ref="AR6">SUM(IF(($B$5:$B$11=$AO6)*($F$5:$F$11=AR$4),_xlfn.ANCHORARRAY($P$5)*$R$5:$R$11))</f>
        <v>-1.624977009380172E-2</v>
      </c>
      <c r="AS6" s="17" cm="1">
        <f t="array" ref="AS6">SUM(IF($B$5:$B$11=$AO6,_xlfn.ANCHORARRAY($P$5)*$R$5:$R$11))</f>
        <v>-3.2864118141296E-2</v>
      </c>
      <c r="AT6" s="17">
        <v>-4.3313953488372123E-2</v>
      </c>
      <c r="AU6" s="17">
        <v>-6.1414763493285347E-2</v>
      </c>
      <c r="AV6" s="17">
        <v>-5.4165900312672405E-2</v>
      </c>
      <c r="AW6" s="17">
        <v>-5.4773530235493327E-2</v>
      </c>
    </row>
    <row r="7" spans="1:49" x14ac:dyDescent="0.3">
      <c r="A7" s="9" t="str">
        <v>Government 6% 30 Jun 2028</v>
      </c>
      <c r="B7" s="10" t="s">
        <v>20</v>
      </c>
      <c r="C7" s="11">
        <v>0.06</v>
      </c>
      <c r="D7" s="12">
        <v>46934</v>
      </c>
      <c r="E7" s="13">
        <v>15.010958904109589</v>
      </c>
      <c r="F7" s="12" t="s">
        <v>25</v>
      </c>
      <c r="G7" s="10">
        <v>10.210000000000001</v>
      </c>
      <c r="H7" s="10">
        <v>134.44</v>
      </c>
      <c r="I7" s="10">
        <v>4.66</v>
      </c>
      <c r="J7" s="14">
        <v>114.31</v>
      </c>
      <c r="K7" s="15">
        <v>5.3699999999999998E-2</v>
      </c>
      <c r="L7" s="10">
        <v>106.31</v>
      </c>
      <c r="M7" s="16">
        <v>0.03</v>
      </c>
      <c r="N7" s="17">
        <v>-6.9985128160265919E-2</v>
      </c>
      <c r="O7" s="17">
        <v>2.6244423060099727E-2</v>
      </c>
      <c r="P7" s="17">
        <v>-4.3740705100166193E-2</v>
      </c>
      <c r="R7" s="11">
        <v>0.2</v>
      </c>
      <c r="S7" s="18">
        <v>2.0420000000000003</v>
      </c>
      <c r="T7" s="18">
        <v>26.888000000000002</v>
      </c>
      <c r="U7" s="17">
        <v>-8.7481410200332382E-3</v>
      </c>
      <c r="V7" s="11">
        <v>0.15</v>
      </c>
      <c r="W7" s="18">
        <v>1.5315000000000001</v>
      </c>
      <c r="X7" s="18">
        <v>20.166</v>
      </c>
      <c r="Y7" s="17">
        <v>-6.5611057650249291E-3</v>
      </c>
      <c r="AA7" s="19" t="str">
        <v>Total</v>
      </c>
      <c r="AB7" s="28">
        <v>0.2</v>
      </c>
      <c r="AC7" s="28">
        <v>0.30000000000000004</v>
      </c>
      <c r="AD7" s="28">
        <v>0.5</v>
      </c>
      <c r="AE7" s="28">
        <v>1</v>
      </c>
      <c r="AF7" s="27" cm="1">
        <f t="array" ref="AF7">SUM(IF($F$5:$F$11=AF$4,$G$5:$G$11*$R$5:$R$11))</f>
        <v>0.88200000000000012</v>
      </c>
      <c r="AG7" s="27" cm="1">
        <f t="array" ref="AG7">SUM(IF($F$5:$F$11=AG$4,$G$5:$G$11*$R$5:$R$11))</f>
        <v>2.2270000000000003</v>
      </c>
      <c r="AH7" s="27" cm="1">
        <f t="array" ref="AH7">SUM(IF($F$5:$F$11=AH$4,$G$5:$G$11*$R$5:$R$11))</f>
        <v>5.0600000000000005</v>
      </c>
      <c r="AI7" s="27">
        <f>SUMPRODUCT($G$5:$G$11,$R$5:$R$11)</f>
        <v>8.1690000000000005</v>
      </c>
      <c r="AJ7" s="27">
        <v>4.41</v>
      </c>
      <c r="AK7" s="27">
        <v>7.4233333333333329</v>
      </c>
      <c r="AL7" s="27">
        <v>10.120000000000001</v>
      </c>
      <c r="AM7" s="27">
        <v>8.1690000000000005</v>
      </c>
      <c r="AO7" s="19" t="s">
        <v>8</v>
      </c>
      <c r="AP7" s="29" cm="1">
        <f t="array" ref="AP7">SUM(IF($F$5:$F$11=AP$4,_xlfn.ANCHORARRAY($P$5)*$R$5:$R$11))</f>
        <v>-7.8100683346192098E-3</v>
      </c>
      <c r="AQ7" s="29" cm="1">
        <f t="array" ref="AQ7">SUM(IF($F$5:$F$11=AQ$4,_xlfn.ANCHORARRAY($P$5)*$R$5:$R$11))</f>
        <v>-1.7443285729734481E-2</v>
      </c>
      <c r="AR7" s="29" cm="1">
        <f t="array" ref="AR7">SUM(IF($F$5:$F$11=AR$4,_xlfn.ANCHORARRAY($P$5)*$R$5:$R$11))</f>
        <v>-2.499791111383496E-2</v>
      </c>
      <c r="AS7" s="29">
        <f>SUMPRODUCT(_xlfn.ANCHORARRAY($P$5),$R$5:$R$11)</f>
        <v>-5.0251265178188648E-2</v>
      </c>
      <c r="AT7" s="29">
        <v>-3.9050341673096046E-2</v>
      </c>
      <c r="AU7" s="29">
        <v>-5.8144285765781595E-2</v>
      </c>
      <c r="AV7" s="29">
        <v>-4.999582222766992E-2</v>
      </c>
      <c r="AW7" s="29">
        <v>-5.0251265178188648E-2</v>
      </c>
    </row>
    <row r="8" spans="1:49" x14ac:dyDescent="0.3">
      <c r="A8" s="9" t="str">
        <v>Corporate 5% 30 Jun 2018</v>
      </c>
      <c r="B8" s="10" t="s">
        <v>21</v>
      </c>
      <c r="C8" s="11">
        <v>0.05</v>
      </c>
      <c r="D8" s="12">
        <v>43281</v>
      </c>
      <c r="E8" s="13">
        <v>5.0027397260273974</v>
      </c>
      <c r="F8" s="12" t="s">
        <v>23</v>
      </c>
      <c r="G8" s="10">
        <v>4.4000000000000004</v>
      </c>
      <c r="H8" s="10">
        <v>22.84</v>
      </c>
      <c r="I8" s="10">
        <v>4.28</v>
      </c>
      <c r="J8" s="14">
        <v>103.2</v>
      </c>
      <c r="K8" s="15">
        <v>5.9700000000000003E-2</v>
      </c>
      <c r="L8" s="10">
        <v>96.23</v>
      </c>
      <c r="M8" s="16">
        <v>2.5000000000000001E-2</v>
      </c>
      <c r="N8" s="17">
        <v>-6.7538759689922512E-2</v>
      </c>
      <c r="O8" s="17">
        <v>2.4224806201550386E-2</v>
      </c>
      <c r="P8" s="17">
        <v>-4.3313953488372123E-2</v>
      </c>
      <c r="R8" s="11">
        <v>0.1</v>
      </c>
      <c r="S8" s="18">
        <v>0.44000000000000006</v>
      </c>
      <c r="T8" s="18">
        <v>2.2840000000000003</v>
      </c>
      <c r="U8" s="17">
        <v>-4.3313953488372126E-3</v>
      </c>
      <c r="V8" s="11">
        <v>0.15</v>
      </c>
      <c r="W8" s="18">
        <v>0.66</v>
      </c>
      <c r="X8" s="18">
        <v>3.4259999999999997</v>
      </c>
      <c r="Y8" s="17">
        <v>-6.4970930232558181E-3</v>
      </c>
    </row>
    <row r="9" spans="1:49" ht="14.4" customHeight="1" x14ac:dyDescent="0.3">
      <c r="A9" s="9" t="str">
        <v>Corporate 7% 30 Jun 2023</v>
      </c>
      <c r="B9" s="10" t="s">
        <v>21</v>
      </c>
      <c r="C9" s="11">
        <v>7.0000000000000007E-2</v>
      </c>
      <c r="D9" s="12">
        <v>45107</v>
      </c>
      <c r="E9" s="13">
        <v>10.005479452054795</v>
      </c>
      <c r="F9" s="12" t="s">
        <v>24</v>
      </c>
      <c r="G9" s="10">
        <v>7.4</v>
      </c>
      <c r="H9" s="10">
        <v>68.36</v>
      </c>
      <c r="I9" s="10">
        <v>4.8499999999999996</v>
      </c>
      <c r="J9" s="14">
        <v>116.91</v>
      </c>
      <c r="K9" s="15">
        <v>6.1199999999999997E-2</v>
      </c>
      <c r="L9" s="10">
        <v>106.23</v>
      </c>
      <c r="M9" s="16">
        <v>3.5000000000000003E-2</v>
      </c>
      <c r="N9" s="17">
        <v>-9.1352322299204425E-2</v>
      </c>
      <c r="O9" s="17">
        <v>2.9937558805919088E-2</v>
      </c>
      <c r="P9" s="17">
        <v>-6.141476349328534E-2</v>
      </c>
      <c r="R9" s="11">
        <v>0.2</v>
      </c>
      <c r="S9" s="18">
        <v>1.4800000000000002</v>
      </c>
      <c r="T9" s="18">
        <v>13.672000000000001</v>
      </c>
      <c r="U9" s="17">
        <v>-1.2282952698657069E-2</v>
      </c>
      <c r="V9" s="11">
        <v>0.15</v>
      </c>
      <c r="W9" s="18">
        <v>1.1100000000000001</v>
      </c>
      <c r="X9" s="18">
        <v>10.254</v>
      </c>
      <c r="Y9" s="17">
        <v>-9.2122145239928004E-3</v>
      </c>
      <c r="AA9" s="26" t="s">
        <v>29</v>
      </c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O9" s="26" t="s">
        <v>32</v>
      </c>
      <c r="AP9" s="26"/>
      <c r="AQ9" s="26"/>
      <c r="AR9" s="26"/>
      <c r="AS9" s="26"/>
      <c r="AT9" s="26"/>
      <c r="AU9" s="26"/>
      <c r="AV9" s="26"/>
      <c r="AW9" s="26"/>
    </row>
    <row r="10" spans="1:49" x14ac:dyDescent="0.3">
      <c r="A10" s="9" t="str">
        <v>Corporate 6% 30 Jun 2028</v>
      </c>
      <c r="B10" s="10" t="s">
        <v>21</v>
      </c>
      <c r="C10" s="11">
        <v>0.06</v>
      </c>
      <c r="D10" s="12">
        <v>46934</v>
      </c>
      <c r="E10" s="13">
        <v>15.010958904109589</v>
      </c>
      <c r="F10" s="12" t="s">
        <v>25</v>
      </c>
      <c r="G10" s="10">
        <v>10.06</v>
      </c>
      <c r="H10" s="10">
        <v>131.57</v>
      </c>
      <c r="I10" s="10">
        <v>5.16</v>
      </c>
      <c r="J10" s="14">
        <v>108.74</v>
      </c>
      <c r="K10" s="15">
        <v>6.0699999999999997E-2</v>
      </c>
      <c r="L10" s="10">
        <v>99.37</v>
      </c>
      <c r="M10" s="16">
        <v>0.03</v>
      </c>
      <c r="N10" s="17">
        <v>-8.6168843112010229E-2</v>
      </c>
      <c r="O10" s="17">
        <v>2.758874379253265E-2</v>
      </c>
      <c r="P10" s="17">
        <v>-5.858009931947758E-2</v>
      </c>
      <c r="R10" s="11">
        <v>0</v>
      </c>
      <c r="S10" s="18">
        <v>0</v>
      </c>
      <c r="T10" s="18">
        <v>0</v>
      </c>
      <c r="U10" s="17">
        <v>0</v>
      </c>
      <c r="V10" s="11">
        <v>0.15</v>
      </c>
      <c r="W10" s="18">
        <v>1.5090000000000001</v>
      </c>
      <c r="X10" s="18">
        <v>19.735499999999998</v>
      </c>
      <c r="Y10" s="17">
        <v>-8.7870148979216373E-3</v>
      </c>
    </row>
    <row r="11" spans="1:49" ht="14.4" thickBot="1" x14ac:dyDescent="0.35">
      <c r="A11" s="9" t="str">
        <v>Corporate 6% 30 Jun 2028</v>
      </c>
      <c r="B11" s="10" t="s">
        <v>21</v>
      </c>
      <c r="C11" s="11">
        <v>0.06</v>
      </c>
      <c r="D11" s="12">
        <v>46934</v>
      </c>
      <c r="E11" s="13">
        <v>15.010958904109589</v>
      </c>
      <c r="F11" s="12" t="s">
        <v>25</v>
      </c>
      <c r="G11" s="10">
        <v>10.06</v>
      </c>
      <c r="H11" s="10">
        <v>131.57</v>
      </c>
      <c r="I11" s="10">
        <v>5.16</v>
      </c>
      <c r="J11" s="14">
        <v>108.74</v>
      </c>
      <c r="K11" s="15">
        <v>6.0199999999999997E-2</v>
      </c>
      <c r="L11" s="10">
        <v>99.85</v>
      </c>
      <c r="M11" s="16">
        <v>0.03</v>
      </c>
      <c r="N11" s="17">
        <v>-8.1754644105205054E-2</v>
      </c>
      <c r="O11" s="17">
        <v>2.758874379253265E-2</v>
      </c>
      <c r="P11" s="17">
        <v>-5.4165900312672405E-2</v>
      </c>
      <c r="R11" s="11">
        <v>0.3</v>
      </c>
      <c r="S11" s="18">
        <v>3.0180000000000002</v>
      </c>
      <c r="T11" s="18">
        <v>39.470999999999997</v>
      </c>
      <c r="U11" s="17">
        <v>-1.624977009380172E-2</v>
      </c>
      <c r="V11" s="11">
        <v>0</v>
      </c>
      <c r="W11" s="18">
        <v>0</v>
      </c>
      <c r="X11" s="18">
        <v>0</v>
      </c>
      <c r="Y11" s="17">
        <v>0</v>
      </c>
      <c r="AB11" s="3" t="s">
        <v>27</v>
      </c>
      <c r="AC11" s="3"/>
      <c r="AD11" s="3"/>
      <c r="AE11" s="3"/>
      <c r="AF11" s="3" t="s">
        <v>30</v>
      </c>
      <c r="AG11" s="3"/>
      <c r="AH11" s="3"/>
      <c r="AI11" s="3"/>
      <c r="AJ11" s="3" t="s">
        <v>2</v>
      </c>
      <c r="AK11" s="3"/>
      <c r="AL11" s="3"/>
      <c r="AM11" s="3"/>
      <c r="AP11" s="3" t="s">
        <v>33</v>
      </c>
      <c r="AQ11" s="3"/>
      <c r="AR11" s="3"/>
      <c r="AS11" s="3"/>
      <c r="AT11" s="3" t="s">
        <v>12</v>
      </c>
      <c r="AU11" s="3"/>
      <c r="AV11" s="3"/>
      <c r="AW11" s="3"/>
    </row>
    <row r="12" spans="1:49" ht="14.4" thickBot="1" x14ac:dyDescent="0.35">
      <c r="R12" s="21" cm="1">
        <f t="array" ref="R12:Y12">_xlfn.BYCOL(R5:Y11,_xleta.SUM)</f>
        <v>1</v>
      </c>
      <c r="S12" s="22">
        <v>8.1690000000000005</v>
      </c>
      <c r="T12" s="22">
        <v>91.544999999999987</v>
      </c>
      <c r="U12" s="23">
        <v>-5.0251265178188648E-2</v>
      </c>
      <c r="V12" s="21">
        <v>1</v>
      </c>
      <c r="W12" s="22">
        <v>7.1885000000000012</v>
      </c>
      <c r="X12" s="22">
        <v>72.041499999999999</v>
      </c>
      <c r="Y12" s="23">
        <v>-4.8335440243914007E-2</v>
      </c>
      <c r="AA12" s="2" t="str" cm="1">
        <f t="array" ref="AA12:AE15">_xlfn.PIVOTBY(B5:B11,F5:F11,V5:V11,_xleta.SUM,,,-1,,-1)</f>
        <v/>
      </c>
      <c r="AB12" s="7" t="str">
        <v>Short</v>
      </c>
      <c r="AC12" s="7" t="str">
        <v>Mid</v>
      </c>
      <c r="AD12" s="7" t="str">
        <v>Long</v>
      </c>
      <c r="AE12" s="7" t="str">
        <v>Total</v>
      </c>
      <c r="AF12" s="7" t="s">
        <v>23</v>
      </c>
      <c r="AG12" s="7" t="s">
        <v>24</v>
      </c>
      <c r="AH12" s="7" t="s">
        <v>25</v>
      </c>
      <c r="AI12" s="7" t="s">
        <v>8</v>
      </c>
      <c r="AJ12" s="7" t="s">
        <v>23</v>
      </c>
      <c r="AK12" s="7" t="s">
        <v>24</v>
      </c>
      <c r="AL12" s="7" t="s">
        <v>25</v>
      </c>
      <c r="AM12" s="7" t="s">
        <v>8</v>
      </c>
      <c r="AP12" s="7" t="s">
        <v>23</v>
      </c>
      <c r="AQ12" s="7" t="s">
        <v>24</v>
      </c>
      <c r="AR12" s="7" t="s">
        <v>25</v>
      </c>
      <c r="AS12" s="7" t="s">
        <v>8</v>
      </c>
      <c r="AT12" s="7" t="s">
        <v>23</v>
      </c>
      <c r="AU12" s="7" t="s">
        <v>24</v>
      </c>
      <c r="AV12" s="7" t="s">
        <v>25</v>
      </c>
      <c r="AW12" s="7" t="s">
        <v>8</v>
      </c>
    </row>
    <row r="13" spans="1:49" x14ac:dyDescent="0.3">
      <c r="R13" s="19"/>
      <c r="S13" s="19"/>
      <c r="T13" s="19"/>
      <c r="U13" s="19"/>
      <c r="V13" s="19"/>
      <c r="W13" s="19"/>
      <c r="X13" s="25" t="s">
        <v>17</v>
      </c>
      <c r="Y13" s="24">
        <f>U12-Y12</f>
        <v>-1.9158249342746403E-3</v>
      </c>
      <c r="AA13" s="1" t="str">
        <v>Government</v>
      </c>
      <c r="AB13" s="20">
        <v>0.2</v>
      </c>
      <c r="AC13" s="20">
        <v>0.2</v>
      </c>
      <c r="AD13" s="20">
        <v>0.15</v>
      </c>
      <c r="AE13" s="20">
        <v>0.55000000000000004</v>
      </c>
      <c r="AF13" s="18" cm="1">
        <f t="array" ref="AF13">SUM(IF(($B$5:$B$11=$AA13)*($F$5:$F$11=AB$4),$G$5:$G$11*$V$5:$V$11))</f>
        <v>0.88400000000000001</v>
      </c>
      <c r="AG13" s="18" cm="1">
        <f t="array" ref="AG13">SUM(IF(($B$5:$B$11=$AA13)*($F$5:$F$11=AC$4),$G$5:$G$11*$V$5:$V$11))</f>
        <v>1.494</v>
      </c>
      <c r="AH13" s="18" cm="1">
        <f t="array" ref="AH13">SUM(IF(($B$5:$B$11=$AA13)*($F$5:$F$11=AD$4),$G$5:$G$11*$V$5:$V$11))</f>
        <v>1.5315000000000001</v>
      </c>
      <c r="AI13" s="1" cm="1">
        <f t="array" ref="AI13">SUM(IF($B$5:$B$11=$AA13,$G$5:$G$11*$V$5:$V$11))</f>
        <v>3.9095000000000004</v>
      </c>
      <c r="AJ13" s="18" cm="1">
        <f t="array" ref="AJ13:AM15">AF13:AI15/AB13:AE15</f>
        <v>4.42</v>
      </c>
      <c r="AK13" s="18">
        <v>7.47</v>
      </c>
      <c r="AL13" s="18">
        <v>10.210000000000001</v>
      </c>
      <c r="AM13" s="18">
        <v>7.1081818181818184</v>
      </c>
      <c r="AO13" s="1" t="s">
        <v>20</v>
      </c>
      <c r="AP13" s="17" cm="1">
        <f t="array" ref="AP13">SUM(IF(($B$5:$B$11=$AO13)*($F$5:$F$11=AP$4),_xlfn.ANCHORARRAY($P$5)*$V$5:$V$11))</f>
        <v>-6.9573459715639944E-3</v>
      </c>
      <c r="AQ13" s="17" cm="1">
        <f t="array" ref="AQ13">SUM(IF(($B$5:$B$11=$AO13)*($F$5:$F$11=AQ$4),_xlfn.ANCHORARRAY($P$5)*$V$5:$V$11))</f>
        <v>-1.0320666062154824E-2</v>
      </c>
      <c r="AR13" s="17" cm="1">
        <f t="array" ref="AR13">SUM(IF(($B$5:$B$11=$AO13)*($F$5:$F$11=AR$4),_xlfn.ANCHORARRAY($P$5)*$V$5:$V$11))</f>
        <v>-6.5611057650249291E-3</v>
      </c>
      <c r="AS13" s="17" cm="1">
        <f t="array" ref="AS13">SUM(IF($B$5:$B$11=$AO13,_xlfn.ANCHORARRAY($P$5)*$V$5:$V$11))</f>
        <v>-2.3839117798743748E-2</v>
      </c>
      <c r="AT13" s="17" cm="1">
        <f t="array" ref="AT13:AW15">AP13:AS15/AB13:AE15</f>
        <v>-3.478672985781997E-2</v>
      </c>
      <c r="AU13" s="17">
        <v>-5.1603330310774118E-2</v>
      </c>
      <c r="AV13" s="17">
        <v>-4.3740705100166193E-2</v>
      </c>
      <c r="AW13" s="17">
        <v>-4.3343850543170449E-2</v>
      </c>
    </row>
    <row r="14" spans="1:49" x14ac:dyDescent="0.3">
      <c r="A14" s="10" t="s">
        <v>13</v>
      </c>
      <c r="B14" s="9"/>
      <c r="C14" s="9"/>
      <c r="D14" s="9"/>
      <c r="E14" s="9"/>
      <c r="F14" s="9"/>
      <c r="AA14" s="1" t="str">
        <v>Corporate</v>
      </c>
      <c r="AB14" s="20">
        <v>0.15</v>
      </c>
      <c r="AC14" s="20">
        <v>0.15</v>
      </c>
      <c r="AD14" s="20">
        <v>0.15</v>
      </c>
      <c r="AE14" s="20">
        <v>0.44999999999999996</v>
      </c>
      <c r="AF14" s="18" cm="1">
        <f t="array" ref="AF14">SUM(IF(($B$5:$B$11=$AA14)*($F$5:$F$11=AB$4),$G$5:$G$11*$V$5:$V$11))</f>
        <v>0.66</v>
      </c>
      <c r="AG14" s="18" cm="1">
        <f t="array" ref="AG14">SUM(IF(($B$5:$B$11=$AA14)*($F$5:$F$11=AC$4),$G$5:$G$11*$V$5:$V$11))</f>
        <v>1.1100000000000001</v>
      </c>
      <c r="AH14" s="18" cm="1">
        <f t="array" ref="AH14">SUM(IF(($B$5:$B$11=$AA14)*($F$5:$F$11=AD$4),$G$5:$G$11*$V$5:$V$11))</f>
        <v>1.5090000000000001</v>
      </c>
      <c r="AI14" s="1" cm="1">
        <f t="array" ref="AI14">SUM(IF($B$5:$B$11=$AA14,$G$5:$G$11*$V$5:$V$11))</f>
        <v>3.2789999999999999</v>
      </c>
      <c r="AJ14" s="18">
        <v>4.4000000000000004</v>
      </c>
      <c r="AK14" s="18">
        <v>7.4000000000000012</v>
      </c>
      <c r="AL14" s="18">
        <v>10.06</v>
      </c>
      <c r="AM14" s="18">
        <v>7.2866666666666671</v>
      </c>
      <c r="AO14" s="1" t="s">
        <v>21</v>
      </c>
      <c r="AP14" s="17" cm="1">
        <f t="array" ref="AP14">SUM(IF(($B$5:$B$11=$AO14)*($F$5:$F$11=AP$4),_xlfn.ANCHORARRAY($P$5)*$V$5:$V$11))</f>
        <v>-6.4970930232558181E-3</v>
      </c>
      <c r="AQ14" s="17" cm="1">
        <f t="array" ref="AQ14">SUM(IF(($B$5:$B$11=$AO14)*($F$5:$F$11=AQ$4),_xlfn.ANCHORARRAY($P$5)*$V$5:$V$11))</f>
        <v>-9.2122145239928004E-3</v>
      </c>
      <c r="AR14" s="17" cm="1">
        <f t="array" ref="AR14">SUM(IF(($B$5:$B$11=$AO14)*($F$5:$F$11=AR$4),_xlfn.ANCHORARRAY($P$5)*$V$5:$V$11))</f>
        <v>-8.7870148979216373E-3</v>
      </c>
      <c r="AS14" s="17" cm="1">
        <f t="array" ref="AS14">SUM(IF($B$5:$B$11=$AO14,_xlfn.ANCHORARRAY($P$5)*$V$5:$V$11))</f>
        <v>-2.4496322445170256E-2</v>
      </c>
      <c r="AT14" s="17">
        <v>-4.3313953488372123E-2</v>
      </c>
      <c r="AU14" s="17">
        <v>-6.141476349328534E-2</v>
      </c>
      <c r="AV14" s="17">
        <v>-5.8580099319477587E-2</v>
      </c>
      <c r="AW14" s="17">
        <v>-5.4436272100378352E-2</v>
      </c>
    </row>
    <row r="15" spans="1:49" x14ac:dyDescent="0.3">
      <c r="A15" s="1" t="s">
        <v>14</v>
      </c>
      <c r="AA15" s="19" t="str">
        <v>Total</v>
      </c>
      <c r="AB15" s="28">
        <v>0.35</v>
      </c>
      <c r="AC15" s="28">
        <v>0.35</v>
      </c>
      <c r="AD15" s="28">
        <v>0.3</v>
      </c>
      <c r="AE15" s="28">
        <v>1</v>
      </c>
      <c r="AF15" s="27" cm="1">
        <f t="array" ref="AF15">SUM(IF($F$5:$F$11=AF$4,$G$5:$G$11*$V$5:$V$11))</f>
        <v>1.544</v>
      </c>
      <c r="AG15" s="27" cm="1">
        <f t="array" ref="AG15">SUM(IF($F$5:$F$11=AG$4,$G$5:$G$11*$V$5:$V$11))</f>
        <v>2.6040000000000001</v>
      </c>
      <c r="AH15" s="27" cm="1">
        <f t="array" ref="AH15">SUM(IF($F$5:$F$11=AH$4,$G$5:$G$11*$V$5:$V$11))</f>
        <v>3.0405000000000002</v>
      </c>
      <c r="AI15" s="27">
        <f>SUMPRODUCT($G$5:$G$11,$V$5:$V$11)</f>
        <v>7.1885000000000012</v>
      </c>
      <c r="AJ15" s="27">
        <v>4.4114285714285719</v>
      </c>
      <c r="AK15" s="27">
        <v>7.44</v>
      </c>
      <c r="AL15" s="27">
        <v>10.135000000000002</v>
      </c>
      <c r="AM15" s="27">
        <v>7.1885000000000012</v>
      </c>
      <c r="AO15" s="19" t="s">
        <v>8</v>
      </c>
      <c r="AP15" s="29" cm="1">
        <f t="array" ref="AP15">SUM(IF($F$5:$F$11=AP$4,_xlfn.ANCHORARRAY($P$5)*$V$5:$V$11))</f>
        <v>-1.3454438994819812E-2</v>
      </c>
      <c r="AQ15" s="29" cm="1">
        <f t="array" ref="AQ15">SUM(IF($F$5:$F$11=AQ$4,_xlfn.ANCHORARRAY($P$5)*$V$5:$V$11))</f>
        <v>-1.9532880586147626E-2</v>
      </c>
      <c r="AR15" s="29" cm="1">
        <f t="array" ref="AR15">SUM(IF($F$5:$F$11=AR$4,_xlfn.ANCHORARRAY($P$5)*$V$5:$V$11))</f>
        <v>-1.5348120662946566E-2</v>
      </c>
      <c r="AS15" s="29">
        <f>SUMPRODUCT(_xlfn.ANCHORARRAY($P$5),$V$5:$V$11)</f>
        <v>-4.8335440243914007E-2</v>
      </c>
      <c r="AT15" s="29">
        <v>-3.8441254270913751E-2</v>
      </c>
      <c r="AU15" s="29">
        <v>-5.5808230246136077E-2</v>
      </c>
      <c r="AV15" s="29">
        <v>-5.116040220982189E-2</v>
      </c>
      <c r="AW15" s="29">
        <v>-4.8335440243914007E-2</v>
      </c>
    </row>
  </sheetData>
  <mergeCells count="23">
    <mergeCell ref="AO9:AW9"/>
    <mergeCell ref="AO1:AW1"/>
    <mergeCell ref="AA1:AM1"/>
    <mergeCell ref="R1:Y1"/>
    <mergeCell ref="A1:P1"/>
    <mergeCell ref="AA9:AM9"/>
    <mergeCell ref="AP11:AS11"/>
    <mergeCell ref="AT11:AW11"/>
    <mergeCell ref="AF3:AI3"/>
    <mergeCell ref="AF11:AI11"/>
    <mergeCell ref="AJ3:AM3"/>
    <mergeCell ref="AJ11:AM11"/>
    <mergeCell ref="AT3:AW3"/>
    <mergeCell ref="AP3:AS3"/>
    <mergeCell ref="AB3:AE3"/>
    <mergeCell ref="AB11:AE11"/>
    <mergeCell ref="K3:M3"/>
    <mergeCell ref="I3:J3"/>
    <mergeCell ref="N3:P3"/>
    <mergeCell ref="R2:U2"/>
    <mergeCell ref="V2:Y2"/>
    <mergeCell ref="S3:U3"/>
    <mergeCell ref="W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2025-05-09T22:34:39Z</dcterms:created>
  <dcterms:modified xsi:type="dcterms:W3CDTF">2025-05-10T00:15:48Z</dcterms:modified>
</cp:coreProperties>
</file>