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76F35AA2-9D4C-40E9-99B7-249365841B4B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1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_xlfn.MAP(_xlpm.years,             _xlfn.LAMBDA(_xlpm.y,                 _xlfn.LET(                     _xlpm.n, _xlfn.SEQUENCE(ROWS(_xlpm.ts)),                     _xlpm.d, IF(YEAR(_xlpm.dates) = _xlpm.y, _xlpm.n, 0),                     _xlpm.func(_xlfn.CHOOSEROWS(_xlpm.ts, _xlfn._xlws.FILTER(_xlpm.d, _xlpm.d &gt; 0)))                 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4" i="1" l="1" a="1"/>
  <c r="AR4" i="1" s="1"/>
  <c r="G12" i="3"/>
  <c r="G36" i="3"/>
  <c r="G38" i="3"/>
  <c r="G61" i="3"/>
  <c r="G63" i="3"/>
  <c r="D63" i="3"/>
  <c r="D62" i="3"/>
  <c r="D61" i="3" a="1"/>
  <c r="D61" i="3" s="1"/>
  <c r="D60" i="3" a="1"/>
  <c r="D60" i="3" s="1"/>
  <c r="G60" i="3" s="1"/>
  <c r="D59" i="3" a="1"/>
  <c r="D59" i="3" s="1"/>
  <c r="G59" i="3" s="1"/>
  <c r="D57" i="3" a="1"/>
  <c r="D57" i="3" s="1"/>
  <c r="G57" i="3" s="1"/>
  <c r="D55" i="3"/>
  <c r="G55" i="3" s="1"/>
  <c r="D53" i="3"/>
  <c r="G53" i="3" s="1"/>
  <c r="D52" i="3" a="1"/>
  <c r="D52" i="3" s="1"/>
  <c r="G52" i="3" s="1"/>
  <c r="D51" i="3" a="1"/>
  <c r="D51" i="3" s="1"/>
  <c r="G51" i="3" s="1"/>
  <c r="D49" i="3" a="1"/>
  <c r="D49" i="3" s="1"/>
  <c r="G49" i="3" s="1"/>
  <c r="D47" i="3"/>
  <c r="D44" i="3"/>
  <c r="G44" i="3" s="1"/>
  <c r="D43" i="3"/>
  <c r="G43" i="3" s="1"/>
  <c r="D41" i="3" a="1"/>
  <c r="D41" i="3" s="1"/>
  <c r="G41" i="3" s="1"/>
  <c r="D40" i="3"/>
  <c r="G40" i="3" s="1"/>
  <c r="D39" i="3" a="1"/>
  <c r="D39" i="3" s="1"/>
  <c r="G39" i="3" s="1"/>
  <c r="D38" i="3" a="1"/>
  <c r="D38" i="3" s="1"/>
  <c r="D37" i="3"/>
  <c r="G37" i="3" s="1"/>
  <c r="D36" i="3" a="1"/>
  <c r="D36" i="3" s="1"/>
  <c r="D35" i="3" a="1"/>
  <c r="D35" i="3" s="1"/>
  <c r="G35" i="3" s="1"/>
  <c r="D34" i="3" a="1"/>
  <c r="D34" i="3" s="1"/>
  <c r="G34" i="3" s="1"/>
  <c r="D33" i="3"/>
  <c r="G33" i="3" s="1"/>
  <c r="D31" i="3"/>
  <c r="G31" i="3" s="1"/>
  <c r="D28" i="3"/>
  <c r="D16" i="3" s="1"/>
  <c r="G16" i="3" s="1"/>
  <c r="D26" i="3" a="1"/>
  <c r="D26" i="3" s="1"/>
  <c r="G26" i="3" s="1"/>
  <c r="D25" i="3" a="1"/>
  <c r="D25" i="3" s="1"/>
  <c r="G25" i="3" s="1"/>
  <c r="D23" i="3" a="1"/>
  <c r="D23" i="3" s="1"/>
  <c r="G23" i="3" s="1"/>
  <c r="D22" i="3" a="1"/>
  <c r="D22" i="3" s="1"/>
  <c r="G22" i="3" s="1"/>
  <c r="D21" i="3" a="1"/>
  <c r="D21" i="3" s="1"/>
  <c r="G21" i="3" s="1"/>
  <c r="D20" i="3"/>
  <c r="D19" i="3" s="1"/>
  <c r="G19" i="3" s="1"/>
  <c r="D18" i="3"/>
  <c r="G18" i="3" s="1"/>
  <c r="D17" i="3"/>
  <c r="G17" i="3" s="1"/>
  <c r="D14" i="3" a="1"/>
  <c r="D14" i="3" s="1"/>
  <c r="G14" i="3" s="1"/>
  <c r="D13" i="3"/>
  <c r="G13" i="3" s="1"/>
  <c r="D12" i="3" a="1"/>
  <c r="D12" i="3" s="1"/>
  <c r="D11" i="3"/>
  <c r="D32" i="3" s="1"/>
  <c r="G32" i="3" s="1"/>
  <c r="D10" i="3"/>
  <c r="G10" i="3" s="1"/>
  <c r="D9" i="3" a="1"/>
  <c r="D9" i="3" s="1"/>
  <c r="G9" i="3" s="1"/>
  <c r="D2" i="3"/>
  <c r="G2" i="3" s="1"/>
  <c r="D8" i="3"/>
  <c r="G8" i="3" s="1"/>
  <c r="D7" i="3"/>
  <c r="G7" i="3" s="1"/>
  <c r="D6" i="3"/>
  <c r="G6" i="3" s="1"/>
  <c r="D5" i="3" a="1"/>
  <c r="D5" i="3" s="1"/>
  <c r="G5" i="3" s="1"/>
  <c r="D4" i="3" a="1"/>
  <c r="D4" i="3" s="1"/>
  <c r="G4" i="3" s="1"/>
  <c r="D3" i="3"/>
  <c r="G3" i="3" s="1"/>
  <c r="D64" i="3" a="1"/>
  <c r="D64" i="3" s="1"/>
  <c r="G64" i="3" s="1"/>
  <c r="D65" i="3" a="1"/>
  <c r="D65" i="3" s="1"/>
  <c r="G65" i="3" s="1"/>
  <c r="J1" i="3" a="1"/>
  <c r="G20" i="3" l="1"/>
  <c r="G28" i="3"/>
  <c r="G62" i="3"/>
  <c r="G11" i="3"/>
  <c r="J1" i="3"/>
  <c r="D58" i="3" a="1"/>
  <c r="D58" i="3" s="1"/>
  <c r="G58" i="3" s="1"/>
  <c r="D54" i="3" a="1"/>
  <c r="D54" i="3" s="1"/>
  <c r="G54" i="3" s="1"/>
  <c r="D24" i="3" a="1"/>
  <c r="D24" i="3" s="1"/>
  <c r="G24" i="3" s="1"/>
  <c r="D46" i="3" a="1"/>
  <c r="D46" i="3" s="1"/>
  <c r="G46" i="3" s="1"/>
  <c r="D30" i="3" a="1"/>
  <c r="D30" i="3" s="1"/>
  <c r="G30" i="3" s="1"/>
  <c r="D29" i="3" l="1"/>
  <c r="G29" i="3" s="1"/>
  <c r="D42" i="3"/>
  <c r="G42" i="3" s="1"/>
  <c r="D56" i="3" l="1"/>
  <c r="G56" i="3" s="1"/>
  <c r="D15" i="3"/>
  <c r="G15" i="3" s="1"/>
  <c r="D48" i="3"/>
  <c r="G48" i="3" s="1"/>
  <c r="D50" i="3" l="1"/>
  <c r="G50" i="3" s="1"/>
  <c r="D45" i="3"/>
  <c r="G45" i="3" s="1"/>
  <c r="D27" i="3"/>
  <c r="G27" i="3" s="1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s="1" a="1"/>
  <c r="V4" i="1" s="1"/>
  <c r="AN5" i="1" l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Z4" i="1" l="1"/>
  <c r="E47" i="3" a="1"/>
  <c r="E47" i="3" l="1"/>
  <c r="G4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fund = xl(%P2%)
benchmark = xl(%P3%)
rfr = xl(%P4%)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<sst xmlns="http://schemas.openxmlformats.org/spreadsheetml/2006/main" count="191" uniqueCount="112">
  <si>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</si>
  <si>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</si>
  <si>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</si>
  <si>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</si>
  <si>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</si>
  <si>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</si>
  <si>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</si>
  <si>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</si>
  <si>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</si>
  <si>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</si>
  <si>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</si>
  <si>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</si>
  <si>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</si>
  <si>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</si>
  <si>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</si>
  <si>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</si>
  <si>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</si>
  <si>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</si>
  <si>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</si>
  <si>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</si>
  <si>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</si>
  <si>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</si>
  <si>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</si>
  <si>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</si>
  <si>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</si>
  <si>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</si>
  <si>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</si>
  <si>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</si>
  <si>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</si>
  <si>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</si>
  <si>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</si>
  <si>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</si>
  <si>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</si>
  <si>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</si>
  <si>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</si>
  <si>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</si>
  <si>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</si>
  <si>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</si>
  <si>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</si>
  <si>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</si>
  <si>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</si>
  <si>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</si>
  <si>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</si>
  <si>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</si>
  <si>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</si>
  <si>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</si>
  <si>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Downside Market Capture Ratio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</si>
  <si>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</si>
  <si>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</si>
  <si>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</si>
  <si>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</si>
  <si>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</si>
  <si>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</si>
  <si>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</si>
  <si>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</si>
  <si>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</si>
  <si>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</si>
  <si>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</si>
  <si>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</si>
  <si>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</si>
  <si>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</si>
  <si>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</si>
  <si>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</si>
  <si>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</si>
  <si>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</si>
  <si>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</si>
  <si>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</si>
  <si>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</si>
  <si>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</si>
  <si>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</si>
  <si>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</si>
  <si>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</si>
  <si>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</si>
  <si>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</si>
  <si>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</si>
  <si>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</si>
  <si>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</si>
  <si>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</si>
  <si>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</si>
  <si>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</si>
  <si>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</si>
  <si>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</si>
  <si>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</si>
  <si>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</si>
  <si>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</si>
  <si>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</si>
  <si>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</si>
  <si>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</si>
  <si>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</si>
  <si>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</si>
  <si>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</si>
  <si>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</si>
  <si>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</si>
  <si>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</si>
  <si>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</si>
  <si>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</si>
  <si>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</si>
  <si>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</si>
  <si>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</si>
  <si>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</si>
  <si>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</si>
  <si>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</si>
  <si>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</si>
  <si>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</si>
  <si>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</si>
  <si>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Downside Market Return</t>
  </si>
  <si>
    <t>Growth of $100</t>
  </si>
  <si>
    <t>Tau-b</t>
  </si>
  <si>
    <t>Tau-c</t>
  </si>
  <si>
    <t>Kendall's Tau</t>
  </si>
  <si>
    <t>Excel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</si>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</sst>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2">
    <v t="s"/>
    <v>0</v>
    <v>0</v>
    <v>1.5E-5</v>
    <v>1</v>
    <v>1.2E-5</v>
    <v>2</v>
    <v>1.8E-5</v>
    <v>3</v>
    <v>1.7E-5</v>
    <v>4</v>
    <v>2.0000000000000002E-5</v>
    <v t="s">...</v>
    <v t="s">...</v>
    <v>114</v>
    <v>4.6480000000000002E-3</v>
    <v>115</v>
    <v>4.5009999999999998E-3</v>
    <v>116</v>
    <v>4.6499999999999996E-3</v>
    <v>117</v>
    <v>4.6119999999999998E-3</v>
    <v>118</v>
    <v>4.3829999999999997E-3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0
0    0.000015
1    0.000012
2    0.000018
3    0.000017
4    0.000020
..        ...
114  0.004648
115  0.004501
116  0.004650
117  0.004612
118  0.004383
[119 rows x 1 columns]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119</v>
      <v>1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5" dataDxfId="14" headerRowCellStyle="Percent" dataCellStyle="Percent">
  <autoFilter ref="A1:D120" xr:uid="{C9CC8115-AF40-444A-958D-598AA1DF9B17}"/>
  <tableColumns count="4">
    <tableColumn id="1" xr3:uid="{934F9B54-BCDC-4533-B1B1-9C333060832D}" name="Date" dataDxfId="13" dataCellStyle="Percent"/>
    <tableColumn id="2" xr3:uid="{6894530B-F553-43CC-9FDC-787C277A8B34}" name="Fund" dataDxfId="12" dataCellStyle="Percent"/>
    <tableColumn id="3" xr3:uid="{49B91F60-9CCF-4FB0-878B-A088A4D53F34}" name="Benchmark" dataDxfId="11" dataCellStyle="Percent"/>
    <tableColumn id="4" xr3:uid="{67B15DDD-17B4-498D-9CC1-90B6D6245E42}" name="Rfr" dataDxfId="10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H65" totalsRowShown="0" headerRowDxfId="9" dataDxfId="8">
  <autoFilter ref="A1:H65" xr:uid="{387C8585-C148-48FB-BE25-789C4A93A00A}"/>
  <tableColumns count="8">
    <tableColumn id="1" xr3:uid="{0896B2A4-3FD6-4F96-B098-E36AF3600DF1}" name="#" dataDxfId="7"/>
    <tableColumn id="8" xr3:uid="{5D783CAF-456E-44A8-984E-44F5F13251CA}" name="Category" dataDxfId="6"/>
    <tableColumn id="2" xr3:uid="{BB4CFEBF-2FF7-42BC-80D8-A235D28FBFA8}" name="Measure" dataDxfId="5"/>
    <tableColumn id="4" xr3:uid="{64C2C66E-6921-4B7E-9943-6E8BA2868948}" name="Excel" dataDxfId="4">
      <calculatedColumnFormula array="1">SLOPE(Data!B2:B112-Data!D2:D112,Data!C2:C112-Data!D2:D112)</calculatedColumnFormula>
    </tableColumn>
    <tableColumn id="6" xr3:uid="{9731C190-7179-4E88-A070-669514D94365}" name="Python" dataDxfId="3">
      <calculatedColumnFormula array="1">_xlfn._xlws.PY(1,0)</calculatedColumnFormula>
    </tableColumn>
    <tableColumn id="3" xr3:uid="{013E5404-1A14-4431-8E2A-694A5BE8D601}" name="Expected" dataDxfId="2"/>
    <tableColumn id="5" xr3:uid="{166995D0-19C3-421F-8A7A-6861312D2CA4}" name="Check" dataDxfId="1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2"/>
  <sheetViews>
    <sheetView tabSelected="1" topLeftCell="Y1" workbookViewId="0">
      <pane ySplit="2" topLeftCell="A3" activePane="bottomLeft" state="frozen"/>
      <selection pane="bottomLeft" activeCell="AR22" sqref="AR22"/>
    </sheetView>
  </sheetViews>
  <sheetFormatPr defaultColWidth="8.88671875"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41" width="8.88671875" style="2"/>
    <col min="42" max="43" width="8.88671875" style="22"/>
    <col min="44" max="16384" width="8.88671875" style="2"/>
  </cols>
  <sheetData>
    <row r="1" spans="1:44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21"/>
    </row>
    <row r="2" spans="1:44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4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4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R4" s="1" cm="1">
        <f t="array" ref="AR4:AR14">CalendarYear(B4:B122,AP4:AP122,Returns)</f>
        <v>-1.1829022844000003E-2</v>
      </c>
    </row>
    <row r="5" spans="1:44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R5" s="1">
        <v>3.7843207914226129E-2</v>
      </c>
    </row>
    <row r="6" spans="1:44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R6" s="1">
        <v>-3.329799706963632E-2</v>
      </c>
    </row>
    <row r="7" spans="1:44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R7" s="1">
        <v>0.82260184933699532</v>
      </c>
    </row>
    <row r="8" spans="1:44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R8" s="1">
        <v>1.0341804998269977E-2</v>
      </c>
    </row>
    <row r="9" spans="1:44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R9" s="1">
        <v>0.34746578538570283</v>
      </c>
    </row>
    <row r="10" spans="1:44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R10" s="1">
        <v>1.4159712010444485</v>
      </c>
    </row>
    <row r="11" spans="1:44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R11" s="1">
        <v>-0.23168069717030226</v>
      </c>
    </row>
    <row r="12" spans="1:44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R12" s="1">
        <v>-0.66975290633071971</v>
      </c>
    </row>
    <row r="13" spans="1:44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R13" s="1">
        <v>0.67988063363654616</v>
      </c>
    </row>
    <row r="14" spans="1:44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R14" s="1">
        <v>-9.2545987877166946E-2</v>
      </c>
    </row>
    <row r="15" spans="1:44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</row>
    <row r="16" spans="1:44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</row>
    <row r="17" spans="1:42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</row>
    <row r="18" spans="1:42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</row>
    <row r="19" spans="1:42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</row>
    <row r="20" spans="1:42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</row>
    <row r="21" spans="1:42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</row>
    <row r="22" spans="1:42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</row>
    <row r="23" spans="1:42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</row>
    <row r="24" spans="1:42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</row>
    <row r="25" spans="1:42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</row>
    <row r="26" spans="1:42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</row>
    <row r="27" spans="1:42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</row>
    <row r="28" spans="1:42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</row>
    <row r="29" spans="1:42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</row>
    <row r="30" spans="1:42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</row>
    <row r="31" spans="1:42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</row>
    <row r="32" spans="1:42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</row>
    <row r="33" spans="1:42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</row>
    <row r="34" spans="1:42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</row>
    <row r="35" spans="1:42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</row>
    <row r="36" spans="1:42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</row>
    <row r="37" spans="1:42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</row>
    <row r="38" spans="1:42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</row>
    <row r="39" spans="1:42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</row>
    <row r="40" spans="1:42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</row>
    <row r="41" spans="1:42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</row>
    <row r="42" spans="1:42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</row>
    <row r="43" spans="1:42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</row>
    <row r="44" spans="1:42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</row>
    <row r="45" spans="1:42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</row>
    <row r="46" spans="1:42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</row>
    <row r="47" spans="1:42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</row>
    <row r="48" spans="1:42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</row>
    <row r="49" spans="1:42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</row>
    <row r="50" spans="1:42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</row>
    <row r="51" spans="1:42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</row>
    <row r="52" spans="1:42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</row>
    <row r="53" spans="1:42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</row>
    <row r="54" spans="1:42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</row>
    <row r="55" spans="1:42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</row>
    <row r="56" spans="1:42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</row>
    <row r="57" spans="1:42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</row>
    <row r="58" spans="1:42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</row>
    <row r="59" spans="1:42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</row>
    <row r="60" spans="1:42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</row>
    <row r="61" spans="1:42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</row>
    <row r="62" spans="1:42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</row>
    <row r="63" spans="1:42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</row>
    <row r="64" spans="1:42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</row>
    <row r="65" spans="1:42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</row>
    <row r="66" spans="1:42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</row>
    <row r="67" spans="1:42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</row>
    <row r="68" spans="1:42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</row>
    <row r="69" spans="1:42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</row>
    <row r="70" spans="1:42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</row>
    <row r="71" spans="1:42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</row>
    <row r="72" spans="1:42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</row>
    <row r="73" spans="1:42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</row>
    <row r="74" spans="1:42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</row>
    <row r="75" spans="1:42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</row>
    <row r="76" spans="1:42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</row>
    <row r="77" spans="1:42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</row>
    <row r="78" spans="1:42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</row>
    <row r="79" spans="1:42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</row>
    <row r="80" spans="1:42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</row>
    <row r="81" spans="1:42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</row>
    <row r="82" spans="1:42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</row>
    <row r="83" spans="1:42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</row>
    <row r="84" spans="1:42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</row>
    <row r="85" spans="1:42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</row>
    <row r="86" spans="1:42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</row>
    <row r="87" spans="1:42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</row>
    <row r="88" spans="1:42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</row>
    <row r="89" spans="1:42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</row>
    <row r="90" spans="1:42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</row>
    <row r="91" spans="1:42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</row>
    <row r="92" spans="1:42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</row>
    <row r="93" spans="1:42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</row>
    <row r="94" spans="1:42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</row>
    <row r="95" spans="1:42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</row>
    <row r="96" spans="1:42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</row>
    <row r="97" spans="1:42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</row>
    <row r="98" spans="1:42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</row>
    <row r="99" spans="1:42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</row>
    <row r="100" spans="1:42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</row>
    <row r="101" spans="1:42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</row>
    <row r="102" spans="1:42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</row>
    <row r="103" spans="1:42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</row>
    <row r="104" spans="1:42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</row>
    <row r="105" spans="1:42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</row>
    <row r="106" spans="1:42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</row>
    <row r="107" spans="1:42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</row>
    <row r="108" spans="1:42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</row>
    <row r="109" spans="1:42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</row>
    <row r="110" spans="1:42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</row>
    <row r="111" spans="1:42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</row>
    <row r="112" spans="1:42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</row>
    <row r="113" spans="1:42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</row>
    <row r="114" spans="1:42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</row>
    <row r="115" spans="1:42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</row>
    <row r="116" spans="1:42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</row>
    <row r="117" spans="1:42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</row>
    <row r="118" spans="1:42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</row>
    <row r="119" spans="1:42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</row>
    <row r="120" spans="1:42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</row>
    <row r="121" spans="1:42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</row>
    <row r="122" spans="1:42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2" x14ac:dyDescent="0.25"/>
  <cols>
    <col min="1" max="1" width="8.44140625" style="13" bestFit="1" customWidth="1"/>
    <col min="2" max="2" width="6.44140625" style="1" bestFit="1" customWidth="1"/>
    <col min="3" max="3" width="10.6640625" style="1" bestFit="1" customWidth="1"/>
    <col min="4" max="4" width="5" style="1" bestFit="1" customWidth="1"/>
    <col min="5" max="16384" width="8.88671875" style="1"/>
  </cols>
  <sheetData>
    <row r="1" spans="1:4" s="9" customFormat="1" x14ac:dyDescent="0.25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25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25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25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25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25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25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25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25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25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25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25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25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25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25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25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25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25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25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25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25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25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25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25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25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25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25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25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25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25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25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25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25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25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25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25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25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25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25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25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25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25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25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25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25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25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25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25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25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25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25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25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25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25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25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25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25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25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25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25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25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25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25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25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25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25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25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25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25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25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25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25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25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25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25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25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25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25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25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25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25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25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25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25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25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25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25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25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25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25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25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25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25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25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25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25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25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25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25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25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25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25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25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25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25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25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25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25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25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25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25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25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25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25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25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25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25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25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25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25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J65"/>
  <sheetViews>
    <sheetView workbookViewId="0">
      <pane ySplit="1" topLeftCell="A2" activePane="bottomLeft" state="frozen"/>
      <selection pane="bottomLeft" activeCell="K51" sqref="K51"/>
    </sheetView>
  </sheetViews>
  <sheetFormatPr defaultColWidth="8.88671875" defaultRowHeight="12" x14ac:dyDescent="0.25"/>
  <cols>
    <col min="1" max="1" width="3.77734375" style="2" bestFit="1" customWidth="1"/>
    <col min="2" max="2" width="9.6640625" style="2" bestFit="1" customWidth="1"/>
    <col min="3" max="3" width="29.6640625" style="2" bestFit="1" customWidth="1"/>
    <col min="4" max="4" width="9.33203125" style="2" bestFit="1" customWidth="1"/>
    <col min="5" max="5" width="7.88671875" style="2" bestFit="1" customWidth="1"/>
    <col min="6" max="6" width="9.33203125" style="2" bestFit="1" customWidth="1"/>
    <col min="7" max="7" width="7.6640625" style="15" bestFit="1" customWidth="1"/>
    <col min="8" max="8" width="50.88671875" style="2" customWidth="1"/>
    <col min="9" max="9" width="2.6640625" style="2" customWidth="1"/>
    <col min="10" max="10" width="5.109375" style="2" bestFit="1" customWidth="1"/>
    <col min="11" max="11" width="9.33203125" style="2" bestFit="1" customWidth="1"/>
    <col min="12" max="16384" width="8.88671875" style="2"/>
  </cols>
  <sheetData>
    <row r="1" spans="1:10" x14ac:dyDescent="0.25">
      <c r="A1" s="2" t="s">
        <v>10</v>
      </c>
      <c r="B1" s="2" t="s">
        <v>80</v>
      </c>
      <c r="C1" s="2" t="s">
        <v>28</v>
      </c>
      <c r="D1" s="2" t="s">
        <v>110</v>
      </c>
      <c r="E1" s="2" t="s">
        <v>111</v>
      </c>
      <c r="F1" s="2" t="s">
        <v>75</v>
      </c>
      <c r="G1" s="15" t="s">
        <v>98</v>
      </c>
      <c r="H1" s="2" t="s">
        <v>101</v>
      </c>
      <c r="J1" s="2" t="e" cm="1" vm="1">
        <f t="array" ref="J1">_xlfn._xlws.PY(0,1,Fund,Benchmark,Rfr)</f>
        <v>#VALUE!</v>
      </c>
    </row>
    <row r="2" spans="1:10" x14ac:dyDescent="0.25">
      <c r="A2" s="2">
        <v>1</v>
      </c>
      <c r="B2" s="2" t="s">
        <v>81</v>
      </c>
      <c r="C2" s="2" t="s">
        <v>76</v>
      </c>
      <c r="D2" s="17">
        <f>(1+INTERCEPT(Fund,Benchmark))^12-1</f>
        <v>-7.8514868837969765E-2</v>
      </c>
      <c r="E2" s="17"/>
      <c r="F2" s="18">
        <v>-7.8515000000000001E-2</v>
      </c>
      <c r="G2" s="15">
        <f>MAX(Table1[[#This Row],[Excel]:[Expected]])-MIN(Table1[[#This Row],[Excel]:[Expected]])</f>
        <v>1.3116203023688655E-7</v>
      </c>
    </row>
    <row r="3" spans="1:10" x14ac:dyDescent="0.25">
      <c r="A3" s="2">
        <v>2</v>
      </c>
      <c r="B3" s="2" t="s">
        <v>81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/>
      <c r="F3" s="15">
        <v>6.7000000000000002E-3</v>
      </c>
      <c r="G3" s="15">
        <f>MAX(Table1[[#This Row],[Excel]:[Expected]])-MIN(Table1[[#This Row],[Excel]:[Expected]])</f>
        <v>3.9506933628843423E-5</v>
      </c>
    </row>
    <row r="4" spans="1:10" x14ac:dyDescent="0.25">
      <c r="A4" s="2">
        <v>3</v>
      </c>
      <c r="B4" s="2" t="s">
        <v>82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/>
      <c r="F4" s="18">
        <v>-0.160191</v>
      </c>
      <c r="G4" s="15">
        <f>MAX(Table1[[#This Row],[Excel]:[Expected]])-MIN(Table1[[#This Row],[Excel]:[Expected]])</f>
        <v>4.2831056087933028E-7</v>
      </c>
      <c r="H4" s="2" t="s">
        <v>99</v>
      </c>
    </row>
    <row r="5" spans="1:10" x14ac:dyDescent="0.25">
      <c r="A5" s="2">
        <v>4</v>
      </c>
      <c r="B5" s="2" t="s">
        <v>82</v>
      </c>
      <c r="C5" s="2" t="s">
        <v>87</v>
      </c>
      <c r="D5" s="17" cm="1">
        <f t="array" ref="D5">_xlfn.LET(
   _xlpm.uw, Underwater(Fund),
   INDEX(_xlpm.uw, COUNT(_xlpm.uw))
)</f>
        <v>-0.64971249303468903</v>
      </c>
      <c r="E5" s="17"/>
      <c r="F5" s="18">
        <v>-0.64971199999999996</v>
      </c>
      <c r="G5" s="15">
        <f>MAX(Table1[[#This Row],[Excel]:[Expected]])-MIN(Table1[[#This Row],[Excel]:[Expected]])</f>
        <v>4.9303468907524461E-7</v>
      </c>
      <c r="H5" s="2" t="s">
        <v>99</v>
      </c>
    </row>
    <row r="6" spans="1:10" x14ac:dyDescent="0.25">
      <c r="A6" s="2">
        <v>5</v>
      </c>
      <c r="B6" s="2" t="s">
        <v>82</v>
      </c>
      <c r="C6" s="2" t="s">
        <v>31</v>
      </c>
      <c r="D6" s="3">
        <f>AVERAGE(Fund)</f>
        <v>1.2003655462184874E-2</v>
      </c>
      <c r="E6" s="3"/>
      <c r="F6" s="3">
        <v>1.2E-2</v>
      </c>
      <c r="G6" s="15">
        <f>MAX(Table1[[#This Row],[Excel]:[Expected]])-MIN(Table1[[#This Row],[Excel]:[Expected]])</f>
        <v>3.655462184873684E-6</v>
      </c>
    </row>
    <row r="7" spans="1:10" x14ac:dyDescent="0.25">
      <c r="A7" s="2">
        <v>6</v>
      </c>
      <c r="B7" s="2" t="s">
        <v>88</v>
      </c>
      <c r="C7" s="2" t="s">
        <v>33</v>
      </c>
      <c r="D7" s="1">
        <f>AVERAGEIF(Fund,"&gt;0")</f>
        <v>7.8778313432835825E-2</v>
      </c>
      <c r="E7" s="1"/>
      <c r="F7" s="3">
        <v>7.8799999999999995E-2</v>
      </c>
      <c r="G7" s="15">
        <f>MAX(Table1[[#This Row],[Excel]:[Expected]])-MIN(Table1[[#This Row],[Excel]:[Expected]])</f>
        <v>2.1686567164169723E-5</v>
      </c>
    </row>
    <row r="8" spans="1:10" x14ac:dyDescent="0.25">
      <c r="A8" s="2">
        <v>7</v>
      </c>
      <c r="B8" s="2" t="s">
        <v>88</v>
      </c>
      <c r="C8" s="2" t="s">
        <v>32</v>
      </c>
      <c r="D8" s="1">
        <f>AVERAGEIF(Fund,"&lt;0")</f>
        <v>-7.4032923076923052E-2</v>
      </c>
      <c r="E8" s="1"/>
      <c r="F8" s="3">
        <v>-7.3999999999999996E-2</v>
      </c>
      <c r="G8" s="15">
        <f>MAX(Table1[[#This Row],[Excel]:[Expected]])-MIN(Table1[[#This Row],[Excel]:[Expected]])</f>
        <v>3.2923076923055405E-5</v>
      </c>
    </row>
    <row r="9" spans="1:10" x14ac:dyDescent="0.25">
      <c r="A9" s="2">
        <v>8</v>
      </c>
      <c r="B9" s="2" t="s">
        <v>94</v>
      </c>
      <c r="C9" s="2" t="s">
        <v>34</v>
      </c>
      <c r="D9" s="15" cm="1">
        <f t="array" ref="D9">SUM(N(Fund&gt;Benchmark))/COUNT(Fund)</f>
        <v>0.48739495798319327</v>
      </c>
      <c r="E9" s="15"/>
      <c r="F9" s="2">
        <v>0.4874</v>
      </c>
      <c r="G9" s="15">
        <f>MAX(Table1[[#This Row],[Excel]:[Expected]])-MIN(Table1[[#This Row],[Excel]:[Expected]])</f>
        <v>5.0420168067333293E-6</v>
      </c>
    </row>
    <row r="10" spans="1:10" x14ac:dyDescent="0.25">
      <c r="A10" s="2">
        <v>9</v>
      </c>
      <c r="B10" s="2" t="s">
        <v>88</v>
      </c>
      <c r="C10" s="2" t="s">
        <v>35</v>
      </c>
      <c r="D10" s="1">
        <f>MAX(Fund)</f>
        <v>0.31514199999999998</v>
      </c>
      <c r="E10" s="1"/>
      <c r="F10" s="3">
        <v>0.31509999999999999</v>
      </c>
      <c r="G10" s="15">
        <f>MAX(Table1[[#This Row],[Excel]:[Expected]])-MIN(Table1[[#This Row],[Excel]:[Expected]])</f>
        <v>4.1999999999986493E-5</v>
      </c>
    </row>
    <row r="11" spans="1:10" x14ac:dyDescent="0.25">
      <c r="A11" s="2">
        <v>10</v>
      </c>
      <c r="B11" s="2" t="s">
        <v>81</v>
      </c>
      <c r="C11" s="2" t="s">
        <v>36</v>
      </c>
      <c r="D11" s="15">
        <f>SLOPE(Fund,Benchmark)</f>
        <v>1.6525912709058328</v>
      </c>
      <c r="E11" s="15"/>
      <c r="F11" s="2">
        <v>1.6526000000000001</v>
      </c>
      <c r="G11" s="15">
        <f>MAX(Table1[[#This Row],[Excel]:[Expected]])-MIN(Table1[[#This Row],[Excel]:[Expected]])</f>
        <v>8.7290941672701905E-6</v>
      </c>
    </row>
    <row r="12" spans="1:10" x14ac:dyDescent="0.25">
      <c r="A12" s="2">
        <v>11</v>
      </c>
      <c r="B12" s="2" t="s">
        <v>81</v>
      </c>
      <c r="C12" s="2" t="s">
        <v>86</v>
      </c>
      <c r="D12" s="15" cm="1">
        <f t="array" ref="D12">SLOPE(Fund-Rfr,Benchmark-Rfr)</f>
        <v>1.654356531846279</v>
      </c>
      <c r="E12" s="15"/>
      <c r="F12" s="2">
        <v>1.6544000000000001</v>
      </c>
      <c r="G12" s="15">
        <f>MAX(Table1[[#This Row],[Excel]:[Expected]])-MIN(Table1[[#This Row],[Excel]:[Expected]])</f>
        <v>4.3468153721137881E-5</v>
      </c>
    </row>
    <row r="13" spans="1:10" x14ac:dyDescent="0.25">
      <c r="A13" s="2">
        <v>12</v>
      </c>
      <c r="B13" s="2" t="s">
        <v>81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/>
      <c r="F13" s="2">
        <v>11.4078</v>
      </c>
      <c r="G13" s="15">
        <f>MAX(Table1[[#This Row],[Excel]:[Expected]])-MIN(Table1[[#This Row],[Excel]:[Expected]])</f>
        <v>1.8871641826123664E-5</v>
      </c>
    </row>
    <row r="14" spans="1:10" x14ac:dyDescent="0.25">
      <c r="A14" s="2">
        <v>13</v>
      </c>
      <c r="B14" s="2" t="s">
        <v>82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/>
      <c r="F14" s="2">
        <v>1.1052999999999999</v>
      </c>
      <c r="G14" s="15">
        <f>MAX(Table1[[#This Row],[Excel]:[Expected]])-MIN(Table1[[#This Row],[Excel]:[Expected]])</f>
        <v>3.6842105263001912E-5</v>
      </c>
    </row>
    <row r="15" spans="1:10" x14ac:dyDescent="0.25">
      <c r="A15" s="2">
        <v>14</v>
      </c>
      <c r="B15" s="2" t="s">
        <v>94</v>
      </c>
      <c r="C15" s="2" t="s">
        <v>39</v>
      </c>
      <c r="D15" s="15">
        <f>D49/-D37</f>
        <v>0.11368758481479975</v>
      </c>
      <c r="E15" s="15"/>
      <c r="F15" s="2">
        <v>0.1137</v>
      </c>
      <c r="G15" s="15">
        <f>MAX(Table1[[#This Row],[Excel]:[Expected]])-MIN(Table1[[#This Row],[Excel]:[Expected]])</f>
        <v>1.241518520024576E-5</v>
      </c>
    </row>
    <row r="16" spans="1:10" x14ac:dyDescent="0.25">
      <c r="A16" s="2">
        <v>15</v>
      </c>
      <c r="B16" s="2" t="s">
        <v>96</v>
      </c>
      <c r="C16" s="2" t="s">
        <v>40</v>
      </c>
      <c r="D16" s="17">
        <f>AVERAGEIF(Fund,"&lt;="&amp;D28)</f>
        <v>-0.19925480000000001</v>
      </c>
      <c r="E16" s="17"/>
      <c r="F16" s="18">
        <v>-0.19925499999999999</v>
      </c>
      <c r="G16" s="15">
        <f>MAX(Table1[[#This Row],[Excel]:[Expected]])-MIN(Table1[[#This Row],[Excel]:[Expected]])</f>
        <v>1.9999999997799556E-7</v>
      </c>
      <c r="H16" s="2" t="s">
        <v>97</v>
      </c>
    </row>
    <row r="17" spans="1:8" x14ac:dyDescent="0.25">
      <c r="A17" s="2">
        <v>16</v>
      </c>
      <c r="B17" s="2" t="s">
        <v>96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/>
      <c r="F17" s="18">
        <v>-0.14788200000000001</v>
      </c>
      <c r="G17" s="15">
        <f>MAX(Table1[[#This Row],[Excel]:[Expected]])-MIN(Table1[[#This Row],[Excel]:[Expected]])</f>
        <v>2.1279972328702712E-7</v>
      </c>
    </row>
    <row r="18" spans="1:8" x14ac:dyDescent="0.25">
      <c r="A18" s="2">
        <v>17</v>
      </c>
      <c r="B18" s="2" t="s">
        <v>81</v>
      </c>
      <c r="C18" s="2" t="s">
        <v>42</v>
      </c>
      <c r="D18" s="15">
        <f>CORREL(Fund,Benchmark)</f>
        <v>0.72565782323392991</v>
      </c>
      <c r="E18" s="15"/>
      <c r="F18" s="2">
        <v>0.72570000000000001</v>
      </c>
      <c r="G18" s="15">
        <f>MAX(Table1[[#This Row],[Excel]:[Expected]])-MIN(Table1[[#This Row],[Excel]:[Expected]])</f>
        <v>4.2176766070101124E-5</v>
      </c>
    </row>
    <row r="19" spans="1:8" x14ac:dyDescent="0.25">
      <c r="A19" s="2">
        <v>18</v>
      </c>
      <c r="B19" s="2" t="s">
        <v>88</v>
      </c>
      <c r="C19" s="2" t="s">
        <v>43</v>
      </c>
      <c r="D19" s="18">
        <f>D20-FVSCHEDULE(1,Benchmark)+1</f>
        <v>-1.127277665623089</v>
      </c>
      <c r="E19" s="18"/>
      <c r="F19" s="18">
        <v>-1.127278</v>
      </c>
      <c r="G19" s="15">
        <f>MAX(Table1[[#This Row],[Excel]:[Expected]])-MIN(Table1[[#This Row],[Excel]:[Expected]])</f>
        <v>3.3437691104865053E-7</v>
      </c>
    </row>
    <row r="20" spans="1:8" x14ac:dyDescent="0.25">
      <c r="A20" s="2">
        <v>19</v>
      </c>
      <c r="B20" s="2" t="s">
        <v>88</v>
      </c>
      <c r="C20" s="2" t="s">
        <v>44</v>
      </c>
      <c r="D20" s="17">
        <f>FVSCHEDULE(1,Fund)-1</f>
        <v>1.2988460421583965</v>
      </c>
      <c r="E20" s="17"/>
      <c r="F20" s="3">
        <v>1.2988459999999999</v>
      </c>
      <c r="G20" s="15">
        <f>MAX(Table1[[#This Row],[Excel]:[Expected]])-MIN(Table1[[#This Row],[Excel]:[Expected]])</f>
        <v>4.2158396551528199E-8</v>
      </c>
    </row>
    <row r="21" spans="1:8" x14ac:dyDescent="0.25">
      <c r="A21" s="2">
        <v>20</v>
      </c>
      <c r="B21" s="2" t="s">
        <v>94</v>
      </c>
      <c r="C21" s="2" t="s">
        <v>105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/>
      <c r="F21" s="18">
        <v>-0.62758599999999998</v>
      </c>
      <c r="G21" s="15">
        <f>MAX(Table1[[#This Row],[Excel]:[Expected]])-MIN(Table1[[#This Row],[Excel]:[Expected]])</f>
        <v>2.3417489725119367E-8</v>
      </c>
    </row>
    <row r="22" spans="1:8" x14ac:dyDescent="0.25">
      <c r="A22" s="2">
        <v>21</v>
      </c>
      <c r="B22" s="2" t="s">
        <v>88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/>
      <c r="F22" s="18">
        <v>0.30555599999999999</v>
      </c>
      <c r="G22" s="15">
        <f>MAX(Table1[[#This Row],[Excel]:[Expected]])-MIN(Table1[[#This Row],[Excel]:[Expected]])</f>
        <v>4.444444444140494E-7</v>
      </c>
      <c r="H22" s="2" t="s">
        <v>93</v>
      </c>
    </row>
    <row r="23" spans="1:8" x14ac:dyDescent="0.25">
      <c r="A23" s="2">
        <v>22</v>
      </c>
      <c r="B23" s="2" t="s">
        <v>94</v>
      </c>
      <c r="C23" s="2" t="s">
        <v>46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/>
      <c r="F23" s="2">
        <v>158.50059999999999</v>
      </c>
      <c r="G23" s="15">
        <f>MAX(Table1[[#This Row],[Excel]:[Expected]])-MIN(Table1[[#This Row],[Excel]:[Expected]])</f>
        <v>7.3646980638386594E-6</v>
      </c>
    </row>
    <row r="24" spans="1:8" x14ac:dyDescent="0.25">
      <c r="A24" s="2">
        <v>24</v>
      </c>
      <c r="B24" s="2" t="s">
        <v>88</v>
      </c>
      <c r="C24" s="2" t="s">
        <v>47</v>
      </c>
      <c r="D24" s="18" cm="1">
        <f t="array" ref="D24">D49-GEOMEAN(1+Benchmark)^12+1</f>
        <v>-4.4653234573718725E-2</v>
      </c>
      <c r="E24" s="18"/>
      <c r="F24" s="18">
        <v>-4.4652999999999998E-2</v>
      </c>
      <c r="G24" s="15">
        <f>MAX(Table1[[#This Row],[Excel]:[Expected]])-MIN(Table1[[#This Row],[Excel]:[Expected]])</f>
        <v>2.3457371872703803E-7</v>
      </c>
    </row>
    <row r="25" spans="1:8" x14ac:dyDescent="0.25">
      <c r="A25" s="2">
        <v>25</v>
      </c>
      <c r="B25" s="2" t="s">
        <v>88</v>
      </c>
      <c r="C25" s="2" t="s">
        <v>48</v>
      </c>
      <c r="D25" s="17" cm="1">
        <f t="array" ref="D25">GEOMEAN((1+Fund)/(1+Benchmark))^12-1</f>
        <v>-3.9438755779739987E-2</v>
      </c>
      <c r="E25" s="17"/>
      <c r="F25" s="18">
        <v>-3.9439000000000002E-2</v>
      </c>
      <c r="G25" s="15">
        <f>MAX(Table1[[#This Row],[Excel]:[Expected]])-MIN(Table1[[#This Row],[Excel]:[Expected]])</f>
        <v>2.4422026001502672E-7</v>
      </c>
    </row>
    <row r="26" spans="1:8" x14ac:dyDescent="0.25">
      <c r="A26" s="2">
        <v>26</v>
      </c>
      <c r="B26" s="2" t="s">
        <v>82</v>
      </c>
      <c r="C26" s="2" t="s">
        <v>85</v>
      </c>
      <c r="D26" s="17" cm="1">
        <f t="array" ref="D26">_xlfn.LET(
   _xlpm.mar, 0,
   _xlpm.x, Fund - _xlpm.mar,
   SQRT(SUM(IF(_xlpm.x&gt;0, _xlpm.x^2)) / (COUNT(_xlpm.x)) * 12)
)</f>
        <v>0.27296578943372457</v>
      </c>
      <c r="E26" s="17"/>
      <c r="F26" s="18">
        <v>0.27296599999999999</v>
      </c>
      <c r="G26" s="15">
        <f>MAX(Table1[[#This Row],[Excel]:[Expected]])-MIN(Table1[[#This Row],[Excel]:[Expected]])</f>
        <v>2.1056627541593542E-7</v>
      </c>
      <c r="H26" s="2" t="s">
        <v>84</v>
      </c>
    </row>
    <row r="27" spans="1:8" x14ac:dyDescent="0.25">
      <c r="A27" s="2">
        <v>27</v>
      </c>
      <c r="B27" s="2" t="s">
        <v>82</v>
      </c>
      <c r="C27" s="2" t="s">
        <v>49</v>
      </c>
      <c r="D27" s="15">
        <f>D7/-D8</f>
        <v>1.0640983789196345</v>
      </c>
      <c r="E27" s="15"/>
      <c r="F27" s="2">
        <v>1.0641</v>
      </c>
      <c r="G27" s="15">
        <f>MAX(Table1[[#This Row],[Excel]:[Expected]])-MIN(Table1[[#This Row],[Excel]:[Expected]])</f>
        <v>1.621080365499239E-6</v>
      </c>
    </row>
    <row r="28" spans="1:8" x14ac:dyDescent="0.25">
      <c r="A28" s="2">
        <v>28</v>
      </c>
      <c r="B28" s="2" t="s">
        <v>96</v>
      </c>
      <c r="C28" s="2" t="s">
        <v>50</v>
      </c>
      <c r="D28" s="18">
        <f>AVERAGE(Fund)-_xlfn.NORM.S.INV(0.95)*_xlfn.STDEV.S(Fund)</f>
        <v>-0.15350673952331814</v>
      </c>
      <c r="E28" s="18"/>
      <c r="F28" s="18">
        <v>-0.153506</v>
      </c>
      <c r="G28" s="15">
        <f>MAX(Table1[[#This Row],[Excel]:[Expected]])-MIN(Table1[[#This Row],[Excel]:[Expected]])</f>
        <v>7.395233181384242E-7</v>
      </c>
      <c r="H28" s="2" t="s">
        <v>100</v>
      </c>
    </row>
    <row r="29" spans="1:8" x14ac:dyDescent="0.25">
      <c r="A29" s="2">
        <v>29</v>
      </c>
      <c r="B29" s="2" t="s">
        <v>88</v>
      </c>
      <c r="C29" s="2" t="s">
        <v>106</v>
      </c>
      <c r="D29" s="15">
        <f>100*(1+D20)</f>
        <v>229.88460421583966</v>
      </c>
      <c r="E29" s="15"/>
      <c r="F29" s="15">
        <v>229.88460000000001</v>
      </c>
      <c r="G29" s="15">
        <f>MAX(Table1[[#This Row],[Excel]:[Expected]])-MIN(Table1[[#This Row],[Excel]:[Expected]])</f>
        <v>4.2158396524882846E-6</v>
      </c>
    </row>
    <row r="30" spans="1:8" x14ac:dyDescent="0.25">
      <c r="A30" s="2">
        <v>30</v>
      </c>
      <c r="B30" s="2" t="s">
        <v>94</v>
      </c>
      <c r="C30" s="2" t="s">
        <v>51</v>
      </c>
      <c r="D30" s="15" cm="1">
        <f t="array" ref="D30">(D49-GEOMEAN(1+Benchmark)^12+1)/D57</f>
        <v>-0.1718734572597434</v>
      </c>
      <c r="E30" s="15"/>
      <c r="F30" s="2">
        <v>-0.1719</v>
      </c>
      <c r="G30" s="15">
        <f>MAX(Table1[[#This Row],[Excel]:[Expected]])-MIN(Table1[[#This Row],[Excel]:[Expected]])</f>
        <v>2.6542740256596531E-5</v>
      </c>
    </row>
    <row r="31" spans="1:8" x14ac:dyDescent="0.25">
      <c r="A31" s="2">
        <v>31</v>
      </c>
      <c r="B31" s="2" t="s">
        <v>81</v>
      </c>
      <c r="C31" s="2" t="s">
        <v>52</v>
      </c>
      <c r="D31" s="15">
        <f>COUNT(Fund)/6*(SKEW(Fund)^2+KURT(Fund)^2/4)</f>
        <v>2.128868224246371</v>
      </c>
      <c r="E31" s="15"/>
      <c r="F31" s="2">
        <v>2.1288999999999998</v>
      </c>
      <c r="G31" s="15">
        <f>MAX(Table1[[#This Row],[Excel]:[Expected]])-MIN(Table1[[#This Row],[Excel]:[Expected]])</f>
        <v>3.1775753628782155E-5</v>
      </c>
    </row>
    <row r="32" spans="1:8" x14ac:dyDescent="0.25">
      <c r="A32" s="2">
        <v>32</v>
      </c>
      <c r="B32" s="2" t="s">
        <v>81</v>
      </c>
      <c r="C32" s="2" t="s">
        <v>53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/>
      <c r="F32" s="18">
        <v>-6.8350999999999995E-2</v>
      </c>
      <c r="G32" s="15">
        <f>MAX(Table1[[#This Row],[Excel]:[Expected]])-MIN(Table1[[#This Row],[Excel]:[Expected]])</f>
        <v>3.2533131794076908E-7</v>
      </c>
    </row>
    <row r="33" spans="1:8" x14ac:dyDescent="0.25">
      <c r="A33" s="2">
        <v>33</v>
      </c>
      <c r="B33" s="2" t="s">
        <v>82</v>
      </c>
      <c r="C33" s="2" t="s">
        <v>77</v>
      </c>
      <c r="D33" s="15">
        <f>KURT(Fund)</f>
        <v>0.57831497332206672</v>
      </c>
      <c r="E33" s="15"/>
      <c r="F33" s="2">
        <v>0.57830000000000004</v>
      </c>
      <c r="G33" s="15">
        <f>MAX(Table1[[#This Row],[Excel]:[Expected]])-MIN(Table1[[#This Row],[Excel]:[Expected]])</f>
        <v>1.4973322066680339E-5</v>
      </c>
    </row>
    <row r="34" spans="1:8" x14ac:dyDescent="0.25">
      <c r="A34" s="2">
        <v>34</v>
      </c>
      <c r="B34" s="2" t="s">
        <v>82</v>
      </c>
      <c r="C34" s="2" t="s">
        <v>102</v>
      </c>
      <c r="D34" s="17" cm="1">
        <f t="array" ref="D34">_xlfn.LET(
   _xlpm.mar, 0,
   _xlpm.x, Fund - Rfr,
   SQRT(SUM(IF(_xlpm.x&lt;0, _xlpm.x^2)) / (COUNT(_xlpm.x)) * 12)
)</f>
        <v>0.22124339318231298</v>
      </c>
      <c r="E34" s="17"/>
      <c r="F34" s="18">
        <v>0.221243</v>
      </c>
      <c r="G34" s="15">
        <f>MAX(Table1[[#This Row],[Excel]:[Expected]])-MIN(Table1[[#This Row],[Excel]:[Expected]])</f>
        <v>3.931823129854628E-7</v>
      </c>
      <c r="H34" s="2" t="s">
        <v>103</v>
      </c>
    </row>
    <row r="35" spans="1:8" x14ac:dyDescent="0.25">
      <c r="A35" s="2">
        <v>35</v>
      </c>
      <c r="C35" s="2" t="s">
        <v>55</v>
      </c>
      <c r="D35" s="17" cm="1">
        <f t="array" ref="D35">MAX(_xlfn.SCAN(1,Fund,_xlfn.LAMBDA(_xlpm.x,_xlpm.y,IF(_xlpm.y&gt;0,_xlpm.x*(1+_xlpm.y),1))))-1</f>
        <v>1.0790137753582472</v>
      </c>
      <c r="E35" s="17"/>
      <c r="F35" s="18">
        <v>1.0790139999999999</v>
      </c>
      <c r="G35" s="15">
        <f>MAX(Table1[[#This Row],[Excel]:[Expected]])-MIN(Table1[[#This Row],[Excel]:[Expected]])</f>
        <v>2.2464175275516141E-7</v>
      </c>
    </row>
    <row r="36" spans="1:8" x14ac:dyDescent="0.25">
      <c r="A36" s="2">
        <v>36</v>
      </c>
      <c r="C36" s="2" t="s">
        <v>54</v>
      </c>
      <c r="D36" s="1" cm="1">
        <f t="array" ref="D36">MIN(_xlfn.SCAN(1,Fund,_xlfn.LAMBDA(_xlpm.x,_xlpm.y,IF(_xlpm.y&lt;0,_xlpm.x*(1+_xlpm.y),1))))-1</f>
        <v>-0.66780593781962927</v>
      </c>
      <c r="E36" s="1"/>
      <c r="F36" s="1">
        <v>-0.66779999999999995</v>
      </c>
      <c r="G36" s="19">
        <f>MAX(Table1[[#This Row],[Excel]:[Expected]])-MIN(Table1[[#This Row],[Excel]:[Expected]])</f>
        <v>5.9378196293202734E-6</v>
      </c>
    </row>
    <row r="37" spans="1:8" x14ac:dyDescent="0.25">
      <c r="A37" s="2">
        <v>37</v>
      </c>
      <c r="B37" s="2" t="s">
        <v>82</v>
      </c>
      <c r="C37" s="2" t="s">
        <v>56</v>
      </c>
      <c r="D37" s="17">
        <f>MIN(Underwater(Fund))</f>
        <v>-0.77021503984271789</v>
      </c>
      <c r="E37" s="17"/>
      <c r="F37" s="18">
        <v>-0.77021499999999998</v>
      </c>
      <c r="G37" s="15">
        <f>MAX(Table1[[#This Row],[Excel]:[Expected]])-MIN(Table1[[#This Row],[Excel]:[Expected]])</f>
        <v>3.9842717902693892E-8</v>
      </c>
      <c r="H37" s="2" t="s">
        <v>99</v>
      </c>
    </row>
    <row r="38" spans="1:8" x14ac:dyDescent="0.25">
      <c r="A38" s="2">
        <v>43</v>
      </c>
      <c r="B38" s="2" t="s">
        <v>88</v>
      </c>
      <c r="C38" s="2" t="s">
        <v>58</v>
      </c>
      <c r="D38" s="2" cm="1">
        <f t="array" ref="D38">MAX(_xlfn.SCAN(0,SIGN(Fund)&gt;0,_xlfn.LAMBDA(_xlpm.x,_xlpm.y,IF(_xlpm.y,_xlpm.x+_xlpm.y,0))))</f>
        <v>14</v>
      </c>
      <c r="E38" s="18"/>
      <c r="F38" s="2">
        <v>14</v>
      </c>
      <c r="G38" s="15">
        <f>MAX(Table1[[#This Row],[Excel]:[Expected]])-MIN(Table1[[#This Row],[Excel]:[Expected]])</f>
        <v>0</v>
      </c>
    </row>
    <row r="39" spans="1:8" x14ac:dyDescent="0.25">
      <c r="A39" s="2">
        <v>44</v>
      </c>
      <c r="B39" s="2" t="s">
        <v>88</v>
      </c>
      <c r="C39" s="2" t="s">
        <v>57</v>
      </c>
      <c r="D39" s="2" cm="1">
        <f t="array" ref="D39">MAX(_xlfn.SCAN(0,SIGN(Fund)&lt;0,_xlfn.LAMBDA(_xlpm.x,_xlpm.y,IF(_xlpm.y,_xlpm.x+_xlpm.y,0))))</f>
        <v>8</v>
      </c>
      <c r="E39" s="18"/>
      <c r="F39" s="2">
        <v>8</v>
      </c>
      <c r="G39" s="15">
        <f>MAX(Table1[[#This Row],[Excel]:[Expected]])-MIN(Table1[[#This Row],[Excel]:[Expected]])</f>
        <v>0</v>
      </c>
    </row>
    <row r="40" spans="1:8" x14ac:dyDescent="0.25">
      <c r="A40" s="2">
        <v>45</v>
      </c>
      <c r="B40" s="2" t="s">
        <v>88</v>
      </c>
      <c r="C40" s="2" t="s">
        <v>89</v>
      </c>
      <c r="D40" s="2">
        <f>COUNT(Fund)</f>
        <v>119</v>
      </c>
      <c r="E40" s="18"/>
      <c r="F40" s="2">
        <v>119</v>
      </c>
      <c r="G40" s="15">
        <f>MAX(Table1[[#This Row],[Excel]:[Expected]])-MIN(Table1[[#This Row],[Excel]:[Expected]])</f>
        <v>0</v>
      </c>
    </row>
    <row r="41" spans="1:8" x14ac:dyDescent="0.25">
      <c r="A41" s="2">
        <v>46</v>
      </c>
      <c r="B41" s="2" t="s">
        <v>88</v>
      </c>
      <c r="C41" s="2" t="s">
        <v>91</v>
      </c>
      <c r="D41" s="2" cm="1">
        <f t="array" ref="D41">SUM(N(Fund &gt; Benchmark))</f>
        <v>58</v>
      </c>
      <c r="E41" s="18"/>
      <c r="F41" s="2">
        <v>58</v>
      </c>
      <c r="G41" s="15">
        <f>MAX(Table1[[#This Row],[Excel]:[Expected]])-MIN(Table1[[#This Row],[Excel]:[Expected]])</f>
        <v>0</v>
      </c>
    </row>
    <row r="42" spans="1:8" x14ac:dyDescent="0.25">
      <c r="A42" s="2">
        <v>47</v>
      </c>
      <c r="B42" s="2" t="s">
        <v>88</v>
      </c>
      <c r="C42" s="2" t="s">
        <v>90</v>
      </c>
      <c r="D42" s="17">
        <f>D41/D40</f>
        <v>0.48739495798319327</v>
      </c>
      <c r="E42" s="17"/>
      <c r="F42" s="18">
        <v>0.48739500000000002</v>
      </c>
      <c r="G42" s="15">
        <f>MAX(Table1[[#This Row],[Excel]:[Expected]])-MIN(Table1[[#This Row],[Excel]:[Expected]])</f>
        <v>4.2016806756084435E-8</v>
      </c>
    </row>
    <row r="43" spans="1:8" x14ac:dyDescent="0.25">
      <c r="A43" s="2">
        <v>48</v>
      </c>
      <c r="B43" s="2" t="s">
        <v>88</v>
      </c>
      <c r="C43" s="2" t="s">
        <v>59</v>
      </c>
      <c r="D43" s="16">
        <f>COUNTIF(Fund,"&gt;0")</f>
        <v>67</v>
      </c>
      <c r="E43" s="17"/>
      <c r="F43" s="2">
        <v>67</v>
      </c>
      <c r="G43" s="15">
        <f>MAX(Table1[[#This Row],[Excel]:[Expected]])-MIN(Table1[[#This Row],[Excel]:[Expected]])</f>
        <v>0</v>
      </c>
    </row>
    <row r="44" spans="1:8" x14ac:dyDescent="0.25">
      <c r="A44" s="2">
        <v>49</v>
      </c>
      <c r="B44" s="2" t="s">
        <v>88</v>
      </c>
      <c r="C44" s="2" t="s">
        <v>60</v>
      </c>
      <c r="D44" s="16">
        <f>COUNTIF(Fund,"&lt;0")</f>
        <v>52</v>
      </c>
      <c r="E44" s="17"/>
      <c r="F44" s="2">
        <v>52</v>
      </c>
      <c r="G44" s="15">
        <f>MAX(Table1[[#This Row],[Excel]:[Expected]])-MIN(Table1[[#This Row],[Excel]:[Expected]])</f>
        <v>0</v>
      </c>
    </row>
    <row r="45" spans="1:8" x14ac:dyDescent="0.25">
      <c r="A45" s="2">
        <v>50</v>
      </c>
      <c r="B45" s="2" t="s">
        <v>88</v>
      </c>
      <c r="C45" s="2" t="s">
        <v>61</v>
      </c>
      <c r="D45" s="17">
        <f>D43/D40</f>
        <v>0.56302521008403361</v>
      </c>
      <c r="E45" s="17"/>
      <c r="F45" s="18">
        <v>0.563025</v>
      </c>
      <c r="G45" s="15">
        <f>MAX(Table1[[#This Row],[Excel]:[Expected]])-MIN(Table1[[#This Row],[Excel]:[Expected]])</f>
        <v>2.1008403361388872E-7</v>
      </c>
      <c r="H45" s="2" t="s">
        <v>92</v>
      </c>
    </row>
    <row r="46" spans="1:8" x14ac:dyDescent="0.25">
      <c r="A46" s="2">
        <v>51</v>
      </c>
      <c r="B46" s="2" t="s">
        <v>94</v>
      </c>
      <c r="C46" s="2" t="s">
        <v>62</v>
      </c>
      <c r="D46" s="15" cm="1">
        <f t="array" ref="D46">(D49-GEOMEAN(1+Rfr)^12+1)/D47</f>
        <v>0.20296830430344315</v>
      </c>
      <c r="E46" s="15"/>
      <c r="F46" s="15">
        <v>0.20300000000000001</v>
      </c>
      <c r="G46" s="15">
        <f>MAX(Table1[[#This Row],[Excel]:[Expected]])-MIN(Table1[[#This Row],[Excel]:[Expected]])</f>
        <v>3.1695696556865993E-5</v>
      </c>
    </row>
    <row r="47" spans="1:8" x14ac:dyDescent="0.25">
      <c r="A47" s="2">
        <v>52</v>
      </c>
      <c r="B47" s="2" t="s">
        <v>82</v>
      </c>
      <c r="C47" s="2" t="s">
        <v>78</v>
      </c>
      <c r="D47" s="17">
        <f>_xlfn.STDEV.S(Fund)*SQRT(12)</f>
        <v>0.34856890436749127</v>
      </c>
      <c r="E47" s="17" cm="1">
        <f t="array" ref="E47">_xlfn._xlws.PY(1,0)</f>
        <v>0.34856890436749127</v>
      </c>
      <c r="F47" s="18">
        <v>0.34856900000000002</v>
      </c>
      <c r="G47" s="15">
        <f>MAX(Table1[[#This Row],[Excel]:[Expected]])-MIN(Table1[[#This Row],[Excel]:[Expected]])</f>
        <v>9.5632508745335798E-8</v>
      </c>
    </row>
    <row r="48" spans="1:8" x14ac:dyDescent="0.25">
      <c r="A48" s="2">
        <v>53</v>
      </c>
      <c r="B48" s="2" t="s">
        <v>81</v>
      </c>
      <c r="C48" s="2" t="s">
        <v>64</v>
      </c>
      <c r="D48" s="15">
        <f>D18^2</f>
        <v>0.52657927642060542</v>
      </c>
      <c r="E48" s="15"/>
      <c r="F48" s="2">
        <v>0.52659999999999996</v>
      </c>
      <c r="G48" s="15">
        <f>MAX(Table1[[#This Row],[Excel]:[Expected]])-MIN(Table1[[#This Row],[Excel]:[Expected]])</f>
        <v>2.0723579394532621E-5</v>
      </c>
    </row>
    <row r="49" spans="1:8" x14ac:dyDescent="0.25">
      <c r="A49" s="2">
        <v>54</v>
      </c>
      <c r="B49" s="2" t="s">
        <v>88</v>
      </c>
      <c r="C49" s="2" t="s">
        <v>95</v>
      </c>
      <c r="D49" s="17" cm="1">
        <f t="array" ref="D49">GEOMEAN(1+Fund)^12-1</f>
        <v>8.756388766775336E-2</v>
      </c>
      <c r="E49" s="17"/>
      <c r="F49" s="18">
        <v>8.7564000000000003E-2</v>
      </c>
      <c r="G49" s="15">
        <f>MAX(Table1[[#This Row],[Excel]:[Expected]])-MIN(Table1[[#This Row],[Excel]:[Expected]])</f>
        <v>1.1233224664342067E-7</v>
      </c>
    </row>
    <row r="50" spans="1:8" x14ac:dyDescent="0.25">
      <c r="A50" s="2">
        <v>55</v>
      </c>
      <c r="B50" s="2" t="s">
        <v>94</v>
      </c>
      <c r="C50" s="2" t="s">
        <v>65</v>
      </c>
      <c r="D50" s="15">
        <f>D49/D47</f>
        <v>0.25120969360891698</v>
      </c>
      <c r="E50" s="15"/>
      <c r="F50" s="2">
        <v>0.25119999999999998</v>
      </c>
      <c r="G50" s="15">
        <f>MAX(Table1[[#This Row],[Excel]:[Expected]])-MIN(Table1[[#This Row],[Excel]:[Expected]])</f>
        <v>9.6936089170052142E-6</v>
      </c>
    </row>
    <row r="51" spans="1:8" x14ac:dyDescent="0.25">
      <c r="A51" s="2">
        <v>56</v>
      </c>
      <c r="B51" s="2" t="s">
        <v>94</v>
      </c>
      <c r="C51" s="2" t="s">
        <v>66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/>
      <c r="F51" s="15">
        <v>0.60709999999999997</v>
      </c>
      <c r="G51" s="15">
        <f>MAX(Table1[[#This Row],[Excel]:[Expected]])-MIN(Table1[[#This Row],[Excel]:[Expected]])</f>
        <v>4.2857142857122277E-5</v>
      </c>
    </row>
    <row r="52" spans="1:8" x14ac:dyDescent="0.25">
      <c r="A52" s="2">
        <v>57</v>
      </c>
      <c r="B52" s="2" t="s">
        <v>82</v>
      </c>
      <c r="C52" s="2" t="s">
        <v>83</v>
      </c>
      <c r="D52" s="17" cm="1">
        <f t="array" ref="D52">_xlfn.LET(
   _xlpm.x, Fund - AVERAGE(Fund),
   SQRT(SUM(IF(_xlpm.x&lt;0, _xlpm.x^2)) / (SUM(N(_xlpm.x&lt;0))-1) * 12)
)</f>
        <v>0.33861758060593661</v>
      </c>
      <c r="E52" s="17"/>
      <c r="F52" s="18">
        <v>0.33861799999999997</v>
      </c>
      <c r="G52" s="15">
        <f>MAX(Table1[[#This Row],[Excel]:[Expected]])-MIN(Table1[[#This Row],[Excel]:[Expected]])</f>
        <v>4.1939406336677365E-7</v>
      </c>
    </row>
    <row r="53" spans="1:8" x14ac:dyDescent="0.25">
      <c r="A53" s="2">
        <v>58</v>
      </c>
      <c r="B53" s="2" t="s">
        <v>82</v>
      </c>
      <c r="C53" s="2" t="s">
        <v>67</v>
      </c>
      <c r="D53" s="15">
        <f>SKEW(Fund)</f>
        <v>0.15403194982650587</v>
      </c>
      <c r="E53" s="15"/>
      <c r="F53" s="15">
        <v>0.154</v>
      </c>
      <c r="G53" s="15">
        <f>MAX(Table1[[#This Row],[Excel]:[Expected]])-MIN(Table1[[#This Row],[Excel]:[Expected]])</f>
        <v>3.1949826505867085E-5</v>
      </c>
    </row>
    <row r="54" spans="1:8" x14ac:dyDescent="0.25">
      <c r="A54" s="2">
        <v>59</v>
      </c>
      <c r="B54" s="2" t="s">
        <v>94</v>
      </c>
      <c r="C54" s="2" t="s">
        <v>9</v>
      </c>
      <c r="D54" s="15" cm="1">
        <f t="array" ref="D54">(D49-GEOMEAN(1+Rfr)^12+1)/D34</f>
        <v>0.3197765069263756</v>
      </c>
      <c r="E54" s="15"/>
      <c r="F54" s="15">
        <v>0.31979999999999997</v>
      </c>
      <c r="G54" s="15">
        <f>MAX(Table1[[#This Row],[Excel]:[Expected]])-MIN(Table1[[#This Row],[Excel]:[Expected]])</f>
        <v>2.349307362436992E-5</v>
      </c>
    </row>
    <row r="55" spans="1:8" x14ac:dyDescent="0.25">
      <c r="A55" s="2">
        <v>60</v>
      </c>
      <c r="B55" s="2" t="s">
        <v>81</v>
      </c>
      <c r="C55" s="2" t="s">
        <v>68</v>
      </c>
      <c r="D55" s="15">
        <f>INDEX(LINEST(Fund,Benchmark,,TRUE),3,2)</f>
        <v>6.952959881709328E-2</v>
      </c>
      <c r="E55" s="15"/>
      <c r="F55" s="2">
        <v>6.9500000000000006E-2</v>
      </c>
      <c r="G55" s="15">
        <f>MAX(Table1[[#This Row],[Excel]:[Expected]])-MIN(Table1[[#This Row],[Excel]:[Expected]])</f>
        <v>2.9598817093273722E-5</v>
      </c>
    </row>
    <row r="56" spans="1:8" x14ac:dyDescent="0.25">
      <c r="A56" s="2">
        <v>61</v>
      </c>
      <c r="B56" s="2" t="s">
        <v>94</v>
      </c>
      <c r="C56" s="2" t="s">
        <v>69</v>
      </c>
      <c r="D56" s="15">
        <f>D49/(-D4+0.1)</f>
        <v>0.33653640412488273</v>
      </c>
      <c r="E56" s="15"/>
      <c r="F56" s="2">
        <v>0.33650000000000002</v>
      </c>
      <c r="G56" s="15">
        <f>MAX(Table1[[#This Row],[Excel]:[Expected]])-MIN(Table1[[#This Row],[Excel]:[Expected]])</f>
        <v>3.6404124882705169E-5</v>
      </c>
      <c r="H56" s="2" t="s">
        <v>104</v>
      </c>
    </row>
    <row r="57" spans="1:8" x14ac:dyDescent="0.25">
      <c r="A57" s="2">
        <v>62</v>
      </c>
      <c r="B57" s="2" t="s">
        <v>94</v>
      </c>
      <c r="C57" s="2" t="s">
        <v>63</v>
      </c>
      <c r="D57" s="17" cm="1">
        <f t="array" ref="D57">_xlfn.STDEV.S(Fund-Benchmark)*SQRT(12)</f>
        <v>0.2598029694965443</v>
      </c>
      <c r="E57" s="17"/>
      <c r="F57" s="18">
        <v>0.25980300000000001</v>
      </c>
      <c r="G57" s="15">
        <f>MAX(Table1[[#This Row],[Excel]:[Expected]])-MIN(Table1[[#This Row],[Excel]:[Expected]])</f>
        <v>3.0503455705765958E-8</v>
      </c>
    </row>
    <row r="58" spans="1:8" x14ac:dyDescent="0.25">
      <c r="A58" s="2">
        <v>63</v>
      </c>
      <c r="B58" s="2" t="s">
        <v>94</v>
      </c>
      <c r="C58" s="2" t="s">
        <v>70</v>
      </c>
      <c r="D58" s="17" cm="1">
        <f t="array" ref="D58">(D49-GEOMEAN(1+Rfr)^12+1)/D11</f>
        <v>4.2810609433752783E-2</v>
      </c>
      <c r="E58" s="17"/>
      <c r="F58" s="18">
        <v>4.2811000000000002E-2</v>
      </c>
      <c r="G58" s="15">
        <f>MAX(Table1[[#This Row],[Excel]:[Expected]])-MIN(Table1[[#This Row],[Excel]:[Expected]])</f>
        <v>3.9056624721867106E-7</v>
      </c>
    </row>
    <row r="59" spans="1:8" x14ac:dyDescent="0.25">
      <c r="A59" s="2">
        <v>64</v>
      </c>
      <c r="B59" s="2" t="s">
        <v>94</v>
      </c>
      <c r="C59" s="2" t="s">
        <v>71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/>
      <c r="F59" s="18">
        <v>0.73112100000000002</v>
      </c>
      <c r="G59" s="15">
        <f>MAX(Table1[[#This Row],[Excel]:[Expected]])-MIN(Table1[[#This Row],[Excel]:[Expected]])</f>
        <v>3.5580394197598508E-7</v>
      </c>
    </row>
    <row r="60" spans="1:8" x14ac:dyDescent="0.25">
      <c r="A60" s="2">
        <v>65</v>
      </c>
      <c r="B60" s="2" t="s">
        <v>88</v>
      </c>
      <c r="C60" s="2" t="s">
        <v>72</v>
      </c>
      <c r="D60" s="17" cm="1">
        <f t="array" ref="D60">SUM(IF(Fund&gt;Benchmark,IF(Benchmark&gt;0,1)))/SUM(N(Benchmark&gt;0))</f>
        <v>0.5662650602409639</v>
      </c>
      <c r="E60" s="17"/>
      <c r="F60" s="18">
        <v>0.56626500000000002</v>
      </c>
      <c r="G60" s="15">
        <f>MAX(Table1[[#This Row],[Excel]:[Expected]])-MIN(Table1[[#This Row],[Excel]:[Expected]])</f>
        <v>6.0240963883906318E-8</v>
      </c>
      <c r="H60" s="2" t="s">
        <v>93</v>
      </c>
    </row>
    <row r="61" spans="1:8" x14ac:dyDescent="0.25">
      <c r="A61" s="2">
        <v>66</v>
      </c>
      <c r="B61" s="2" t="s">
        <v>94</v>
      </c>
      <c r="C61" s="2" t="s">
        <v>73</v>
      </c>
      <c r="D61" s="2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8"/>
      <c r="F61" s="2">
        <v>150.1626</v>
      </c>
      <c r="G61" s="15">
        <f>MAX(Table1[[#This Row],[Excel]:[Expected]])-MIN(Table1[[#This Row],[Excel]:[Expected]])</f>
        <v>1.9920913928217487E-5</v>
      </c>
    </row>
    <row r="62" spans="1:8" x14ac:dyDescent="0.25">
      <c r="A62" s="2">
        <v>67</v>
      </c>
      <c r="B62" s="2" t="s">
        <v>82</v>
      </c>
      <c r="C62" s="2" t="s">
        <v>79</v>
      </c>
      <c r="D62" s="17">
        <f>_xlfn.VAR.S(Fund)*12</f>
        <v>0.12150028109195329</v>
      </c>
      <c r="E62" s="17"/>
      <c r="F62" s="17">
        <v>0.12150028</v>
      </c>
      <c r="G62" s="19">
        <f>MAX(Table1[[#This Row],[Excel]:[Expected]])-MIN(Table1[[#This Row],[Excel]:[Expected]])</f>
        <v>1.0919532916764396E-9</v>
      </c>
    </row>
    <row r="63" spans="1:8" x14ac:dyDescent="0.25">
      <c r="A63" s="2">
        <v>68</v>
      </c>
      <c r="B63" s="2" t="s">
        <v>88</v>
      </c>
      <c r="C63" s="2" t="s">
        <v>74</v>
      </c>
      <c r="D63" s="1">
        <f>MIN(Fund)</f>
        <v>-0.287325</v>
      </c>
      <c r="E63" s="1"/>
      <c r="F63" s="3">
        <v>-0.2873</v>
      </c>
      <c r="G63" s="15">
        <f>MAX(Table1[[#This Row],[Excel]:[Expected]])-MIN(Table1[[#This Row],[Excel]:[Expected]])</f>
        <v>2.4999999999997247E-5</v>
      </c>
    </row>
    <row r="64" spans="1:8" x14ac:dyDescent="0.25">
      <c r="A64" s="2">
        <v>69</v>
      </c>
      <c r="B64" s="2" t="s">
        <v>81</v>
      </c>
      <c r="C64" s="2" t="s">
        <v>109</v>
      </c>
      <c r="D64" s="20" cm="1">
        <f t="array" ref="D64">KendallTau({12;2;1;12;2},{1;4;7;1;0},)</f>
        <v>-0.47140452079103173</v>
      </c>
      <c r="E64" s="20"/>
      <c r="F64" s="2">
        <v>-0.47139999999999999</v>
      </c>
      <c r="G64" s="19">
        <f>MAX(Table1[[#This Row],[Excel]:[Expected]])-MIN(Table1[[#This Row],[Excel]:[Expected]])</f>
        <v>4.5207910317479616E-6</v>
      </c>
      <c r="H64" s="2" t="s">
        <v>107</v>
      </c>
    </row>
    <row r="65" spans="1:8" x14ac:dyDescent="0.25">
      <c r="A65" s="2">
        <v>70</v>
      </c>
      <c r="B65" s="2" t="s">
        <v>81</v>
      </c>
      <c r="C65" s="2" t="s">
        <v>109</v>
      </c>
      <c r="D65" s="20" cm="1">
        <f t="array" ref="D65">KendallTau({12;2;1;12;2},{1;4;7;1;0},"C")</f>
        <v>-0.48</v>
      </c>
      <c r="E65" s="20"/>
      <c r="F65" s="15">
        <v>-0.48</v>
      </c>
      <c r="G65" s="19">
        <f>MAX(Table1[[#This Row],[Excel]:[Expected]])-MIN(Table1[[#This Row],[Excel]:[Expected]])</f>
        <v>0</v>
      </c>
      <c r="H65" s="2" t="s">
        <v>108</v>
      </c>
    </row>
  </sheetData>
  <conditionalFormatting sqref="G2:G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F5194B4-C9F1-4B8F-BBDD-4D2D8B510EBF}">
  <ds:schemaRefs/>
</ds:datastoreItem>
</file>

<file path=customXml/itemProps2.xml><?xml version="1.0" encoding="utf-8"?>
<ds:datastoreItem xmlns:ds="http://schemas.openxmlformats.org/officeDocument/2006/customXml" ds:itemID="{8D5AF2F2-4814-411E-9B8D-A9760D9D70B7}">
  <ds:schemaRefs/>
</ds:datastoreItem>
</file>

<file path=customXml/itemProps3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72B95C6-AF4C-472A-8D0D-4CEE9C72B422}">
  <ds:schemaRefs/>
</ds:datastoreItem>
</file>

<file path=customXml/itemProps5.xml><?xml version="1.0" encoding="utf-8"?>
<ds:datastoreItem xmlns:ds="http://schemas.openxmlformats.org/officeDocument/2006/customXml" ds:itemID="{5EDE92DC-C798-4ADD-B75F-65D8CE132ECB}">
  <ds:schemaRefs/>
</ds:datastoreItem>
</file>

<file path=customXml/itemProps6.xml><?xml version="1.0" encoding="utf-8"?>
<ds:datastoreItem xmlns:ds="http://schemas.openxmlformats.org/officeDocument/2006/customXml" ds:itemID="{B693C2A1-066A-42F1-A7B1-8A46563AE3E2}">
  <ds:schemaRefs/>
</ds:datastoreItem>
</file>

<file path=customXml/itemProps7.xml><?xml version="1.0" encoding="utf-8"?>
<ds:datastoreItem xmlns:ds="http://schemas.openxmlformats.org/officeDocument/2006/customXml" ds:itemID="{610311A1-C080-4C61-843D-3F9430855348}">
  <ds:schemaRefs/>
</ds:datastoreItem>
</file>

<file path=customXml/itemProps8.xml><?xml version="1.0" encoding="utf-8"?>
<ds:datastoreItem xmlns:ds="http://schemas.openxmlformats.org/officeDocument/2006/customXml" ds:itemID="{761731AB-A141-4D84-BDCB-1EC22A85F9F3}">
  <ds:schemaRefs/>
</ds:datastoreItem>
</file>

<file path=customXml/itemProps9.xml><?xml version="1.0" encoding="utf-8"?>
<ds:datastoreItem xmlns:ds="http://schemas.openxmlformats.org/officeDocument/2006/customXml" ds:itemID="{6408D763-89C2-4A7F-83E4-C7F0CC55AD20}">
  <ds:schemaRefs/>
</ds:datastoreItem>
</file>

<file path=customXml/itemProps10.xml><?xml version="1.0" encoding="utf-8"?>
<ds:datastoreItem xmlns:ds="http://schemas.openxmlformats.org/officeDocument/2006/customXml" ds:itemID="{41CC2254-8594-494A-9DDA-C89C04EB56D5}">
  <ds:schemaRefs/>
</ds:datastoreItem>
</file>

<file path=customXml/itemProps11.xml><?xml version="1.0" encoding="utf-8"?>
<ds:datastoreItem xmlns:ds="http://schemas.openxmlformats.org/officeDocument/2006/customXml" ds:itemID="{22FFE149-4A23-47DB-A177-618DAFD25093}">
  <ds:schemaRefs/>
</ds:datastoreItem>
</file>

<file path=customXml/itemProps12.xml><?xml version="1.0" encoding="utf-8"?>
<ds:datastoreItem xmlns:ds="http://schemas.openxmlformats.org/officeDocument/2006/customXml" ds:itemID="{E7D3E5D7-FFAE-4D9E-8C45-31A81C0186B3}">
  <ds:schemaRefs/>
</ds:datastoreItem>
</file>

<file path=customXml/itemProps13.xml><?xml version="1.0" encoding="utf-8"?>
<ds:datastoreItem xmlns:ds="http://schemas.openxmlformats.org/officeDocument/2006/customXml" ds:itemID="{4CCAE433-3CC3-439D-81C1-78E6C5BAD7F7}">
  <ds:schemaRefs/>
</ds:datastoreItem>
</file>

<file path=customXml/itemProps14.xml><?xml version="1.0" encoding="utf-8"?>
<ds:datastoreItem xmlns:ds="http://schemas.openxmlformats.org/officeDocument/2006/customXml" ds:itemID="{A73C85F7-941F-44DF-9415-876AA20FC6DA}">
  <ds:schemaRefs/>
</ds:datastoreItem>
</file>

<file path=customXml/itemProps15.xml><?xml version="1.0" encoding="utf-8"?>
<ds:datastoreItem xmlns:ds="http://schemas.openxmlformats.org/officeDocument/2006/customXml" ds:itemID="{F0C8C45B-5467-45FA-AAFD-82A4C40B12D3}">
  <ds:schemaRefs/>
</ds:datastoreItem>
</file>

<file path=customXml/itemProps16.xml><?xml version="1.0" encoding="utf-8"?>
<ds:datastoreItem xmlns:ds="http://schemas.openxmlformats.org/officeDocument/2006/customXml" ds:itemID="{6AE51B09-FDE6-444E-BBFD-2BDD4A6B2E9B}">
  <ds:schemaRefs/>
</ds:datastoreItem>
</file>

<file path=customXml/itemProps17.xml><?xml version="1.0" encoding="utf-8"?>
<ds:datastoreItem xmlns:ds="http://schemas.openxmlformats.org/officeDocument/2006/customXml" ds:itemID="{363E39E5-8756-422C-BA6C-45A1F78A7378}">
  <ds:schemaRefs/>
</ds:datastoreItem>
</file>

<file path=customXml/itemProps18.xml><?xml version="1.0" encoding="utf-8"?>
<ds:datastoreItem xmlns:ds="http://schemas.openxmlformats.org/officeDocument/2006/customXml" ds:itemID="{7D588D0E-6B13-4736-AEBC-7057D47D3C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2025-03-08T01:58:07Z</dcterms:modified>
</cp:coreProperties>
</file>