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F2FF2A19-693A-4E5C-A2FF-4DC602FB1EED}" xr6:coauthVersionLast="47" xr6:coauthVersionMax="47" xr10:uidLastSave="{00000000-0000-0000-0000-000000000000}"/>
  <bookViews>
    <workbookView xWindow="-96" yWindow="0" windowWidth="24144" windowHeight="16656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ANNRET">_xlfn.LAMBDA(_xlpm.ts,GEOMEAN(1+_xlpm.ts)^12-1)</definedName>
    <definedName name="AVGNEG">_xlfn.LAMBDA(_xlpm.ts,AVERAGEIF(_xlpm.ts,"&lt;0") )</definedName>
    <definedName name="AVGPOS">_xlfn.LAMBDA(_xlpm.ts,AVERAGEIF(_xlpm.ts,"&gt;0") )</definedName>
    <definedName name="AVGRET">_xlfn.LAMBDA(_xlpm.ts,AVERAGE(_xlpm.ts) )</definedName>
    <definedName name="Benchmark">Data!$C$2:$C$120</definedName>
    <definedName name="BESTPERIOD">_xlfn.LAMBDA(_xlpm.ts, MAX(_xlpm.ts) )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RET">_xlfn.LAMBDA(_xlpm.ts, FVSCHEDULE(1, _xlpm.ts) - 1 )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GROWTHOF">_xlfn.LAMBDA(_xlpm.ts,_xlpm.init, IF(_xlfn.ISOMITTED(_xlpm.init), 100, _xlpm.init) * (CUMRET(_xlpm.ts) + 1))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MAXCONSECGAINPER">_xlfn.LAMBDA(_xlpm.ts,MAX(_xlfn.SCAN(0,SIGN(_xlpm.ts)&gt;0,_xlfn.LAMBDA(_xlpm.x,_xlpm.y,IF(_xlpm.y,_xlpm.x+_xlpm.y,0)))))</definedName>
    <definedName name="MAXCONSECGAINRET">_xlfn.LAMBDA(_xlpm.ts,MAX(_xlfn.SCAN(1,_xlpm.ts,_xlfn.LAMBDA(_xlpm.x,_xlpm.y,IF(_xlpm.y&gt;0,_xlpm.x*(1+_xlpm.y),1))))-1)</definedName>
    <definedName name="MAXCONSECLOSSPER">_xlfn.LAMBDA(_xlpm.ts,MAX(_xlfn.SCAN(0,SIGN(_xlpm.ts)&lt;0,_xlfn.LAMBDA(_xlpm.x,_xlpm.y,IF(_xlpm.y,_xlpm.x+_xlpm.y,0)))))</definedName>
    <definedName name="MAXCONSECLOSSRET">_xlfn.LAMBDA(_xlpm.ts,MIN(_xlfn.SCAN(1,_xlpm.ts,_xlfn.LAMBDA(_xlpm.x,_xlpm.y,IF(_xlpm.y&lt;0,_xlpm.x*(1+_xlpm.y),1))))-1)</definedName>
    <definedName name="PER">_xlfn.LAMBDA(_xlpm.ts, COUNT(_xlpm.ts))</definedName>
    <definedName name="PERNEG">_xlfn.LAMBDA(_xlpm.ts, COUNTIF(_xlpm.ts, "&lt;0"))</definedName>
    <definedName name="PERPOS">_xlfn.LAMBDA(_xlpm.ts, COUNTIF(_xlpm.ts, "&gt;0"))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  <definedName name="WORSTPERIOD">_xlfn.LAMBDA(_xlpm.ts, MIN(_xlpm.ts)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3" l="1"/>
  <c r="M1" i="3" a="1"/>
  <c r="M1" i="3" s="1"/>
  <c r="D65" i="3"/>
  <c r="D68" i="3" s="1"/>
  <c r="D64" i="3"/>
  <c r="D63" i="3"/>
  <c r="E16" i="3" a="1"/>
  <c r="E16" i="3" s="1"/>
  <c r="E15" i="3" a="1"/>
  <c r="E15" i="3" s="1"/>
  <c r="E14" i="3" a="1"/>
  <c r="E14" i="3" s="1"/>
  <c r="E13" i="3" a="1"/>
  <c r="E13" i="3" s="1"/>
  <c r="E10" i="3" a="1"/>
  <c r="E10" i="3" s="1"/>
  <c r="E9" i="3" a="1"/>
  <c r="E9" i="3" s="1"/>
  <c r="E8" i="3" a="1"/>
  <c r="E8" i="3" s="1"/>
  <c r="E12" i="3" a="1"/>
  <c r="E12" i="3" s="1"/>
  <c r="E11" i="3" a="1"/>
  <c r="E11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  <c r="D62" i="3" a="1"/>
  <c r="D62" i="3" s="1"/>
  <c r="D33" i="3" a="1"/>
  <c r="D33" i="3" s="1"/>
  <c r="AQ4" i="1" a="1"/>
  <c r="AQ4" i="1" s="1"/>
  <c r="D12" i="3"/>
  <c r="D24" i="3"/>
  <c r="D55" i="3" a="1"/>
  <c r="D55" i="3" s="1"/>
  <c r="D60" i="3" a="1"/>
  <c r="D60" i="3" s="1"/>
  <c r="D53" i="3" a="1"/>
  <c r="D53" i="3" s="1"/>
  <c r="D57" i="3" a="1"/>
  <c r="D57" i="3" s="1"/>
  <c r="D43" i="3"/>
  <c r="D25" i="3"/>
  <c r="D31" i="3" a="1"/>
  <c r="D31" i="3" s="1"/>
  <c r="D3" i="3" a="1"/>
  <c r="D3" i="3" s="1"/>
  <c r="D23" i="3"/>
  <c r="D7" i="3"/>
  <c r="D6" i="3"/>
  <c r="D20" i="3" a="1"/>
  <c r="D20" i="3" s="1"/>
  <c r="D5" i="3"/>
  <c r="D16" i="3" a="1"/>
  <c r="D16" i="3" s="1"/>
  <c r="D15" i="3" a="1"/>
  <c r="D15" i="3" s="1"/>
  <c r="D28" i="3"/>
  <c r="D14" i="3" a="1"/>
  <c r="D14" i="3" s="1"/>
  <c r="D13" i="3" a="1"/>
  <c r="D13" i="3" s="1"/>
  <c r="D26" i="3"/>
  <c r="D27" i="3"/>
  <c r="D32" i="3" a="1"/>
  <c r="D32" i="3" s="1"/>
  <c r="D19" i="3" a="1"/>
  <c r="D19" i="3" s="1"/>
  <c r="D56" i="3" a="1"/>
  <c r="D56" i="3" s="1"/>
  <c r="D61" i="3" a="1"/>
  <c r="D61" i="3" s="1"/>
  <c r="D54" i="3" a="1"/>
  <c r="D54" i="3" s="1"/>
  <c r="D2" i="3"/>
  <c r="D41" i="3"/>
  <c r="D42" i="3" s="1"/>
  <c r="D67" i="3"/>
  <c r="D34" i="3" a="1"/>
  <c r="D34" i="3" s="1"/>
  <c r="D37" i="3"/>
  <c r="D38" i="3" a="1"/>
  <c r="D38" i="3" s="1"/>
  <c r="D36" i="3"/>
  <c r="D40" i="3" s="1"/>
  <c r="D11" i="3"/>
  <c r="D59" i="3" a="1"/>
  <c r="D59" i="3" s="1"/>
  <c r="D39" i="3"/>
  <c r="D10" i="3"/>
  <c r="D9" i="3"/>
  <c r="D35" i="3" s="1"/>
  <c r="D8" i="3"/>
  <c r="D30" i="3" a="1"/>
  <c r="D30" i="3" s="1"/>
  <c r="D29" i="3" a="1"/>
  <c r="D29" i="3" s="1"/>
  <c r="D44" i="3"/>
  <c r="D45" i="3" a="1"/>
  <c r="D45" i="3" s="1"/>
  <c r="D46" i="3" a="1"/>
  <c r="D46" i="3" s="1"/>
  <c r="D22" i="3" l="1"/>
  <c r="D58" i="3" a="1"/>
  <c r="D58" i="3" s="1"/>
  <c r="D21" i="3"/>
  <c r="D52" i="3"/>
  <c r="D48" i="3"/>
  <c r="D47" i="3" a="1"/>
  <c r="D47" i="3" s="1"/>
  <c r="D49" i="3" a="1"/>
  <c r="D49" i="3" s="1"/>
  <c r="D50" i="3" a="1"/>
  <c r="D50" i="3" s="1"/>
  <c r="D51" i="3"/>
  <c r="D18" i="3" a="1"/>
  <c r="D18" i="3" s="1"/>
  <c r="D4" i="3"/>
  <c r="D17" i="3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l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  <c r="F2" i="3" l="1" a="1"/>
  <c r="F2" i="3" l="1"/>
  <c r="J2" i="3" l="1"/>
  <c r="F3" i="3" l="1" a="1"/>
  <c r="F3" i="3" l="1"/>
  <c r="F4" i="3" s="1" a="1"/>
  <c r="F4" i="3" s="1"/>
  <c r="F5" i="3" l="1" a="1"/>
  <c r="F5" i="3" s="1"/>
  <c r="J4" i="3"/>
  <c r="J3" i="3"/>
  <c r="F6" i="3" l="1" a="1"/>
  <c r="F6" i="3" s="1"/>
  <c r="J5" i="3"/>
  <c r="J6" i="3" l="1"/>
  <c r="F7" i="3" a="1"/>
  <c r="F7" i="3" s="1"/>
  <c r="J7" i="3" l="1"/>
  <c r="F8" i="3" a="1"/>
  <c r="F8" i="3" s="1"/>
  <c r="F9" i="3" l="1" a="1"/>
  <c r="F9" i="3" s="1"/>
  <c r="J8" i="3"/>
  <c r="F10" i="3" l="1" a="1"/>
  <c r="F10" i="3" s="1"/>
  <c r="J9" i="3"/>
  <c r="F11" i="3" l="1" a="1"/>
  <c r="F11" i="3" s="1"/>
  <c r="J11" i="3" s="1"/>
  <c r="J10" i="3"/>
  <c r="F12" i="3" l="1" a="1"/>
  <c r="F12" i="3" l="1"/>
  <c r="F13" i="3" s="1" a="1"/>
  <c r="F13" i="3" s="1"/>
  <c r="J13" i="3" l="1"/>
  <c r="F14" i="3" a="1"/>
  <c r="F14" i="3" s="1"/>
  <c r="J12" i="3"/>
  <c r="J14" i="3" l="1"/>
  <c r="F15" i="3" a="1"/>
  <c r="F15" i="3" s="1"/>
  <c r="J15" i="3" l="1"/>
  <c r="F16" i="3" a="1"/>
  <c r="F16" i="3" s="1"/>
  <c r="J16" i="3" l="1"/>
  <c r="F17" i="3" a="1"/>
  <c r="F17" i="3" s="1"/>
  <c r="F18" i="3" l="1" a="1"/>
  <c r="F18" i="3" s="1"/>
  <c r="J17" i="3"/>
  <c r="F19" i="3" l="1" a="1"/>
  <c r="F19" i="3" s="1"/>
  <c r="J18" i="3"/>
  <c r="F20" i="3" l="1" a="1"/>
  <c r="F20" i="3" s="1"/>
  <c r="J19" i="3"/>
  <c r="J20" i="3" l="1"/>
  <c r="F21" i="3" a="1"/>
  <c r="F21" i="3" s="1"/>
  <c r="F22" i="3" l="1" a="1"/>
  <c r="F22" i="3" s="1"/>
  <c r="J21" i="3"/>
  <c r="J22" i="3" l="1"/>
  <c r="F23" i="3" a="1"/>
  <c r="F23" i="3" s="1"/>
  <c r="F24" i="3" l="1" a="1"/>
  <c r="F24" i="3" s="1"/>
  <c r="J23" i="3"/>
  <c r="J24" i="3" l="1"/>
  <c r="F25" i="3" a="1"/>
  <c r="F25" i="3" s="1"/>
  <c r="J25" i="3" l="1"/>
  <c r="F26" i="3" a="1"/>
  <c r="F26" i="3" s="1"/>
  <c r="J26" i="3" l="1"/>
  <c r="F27" i="3" a="1"/>
  <c r="F27" i="3" s="1"/>
  <c r="F28" i="3" l="1" a="1"/>
  <c r="F28" i="3" s="1"/>
  <c r="J27" i="3"/>
  <c r="J28" i="3" l="1"/>
  <c r="F29" i="3" a="1"/>
  <c r="F29" i="3" s="1"/>
  <c r="J29" i="3" l="1"/>
  <c r="F30" i="3" a="1"/>
  <c r="F30" i="3" s="1"/>
  <c r="F31" i="3" l="1" a="1"/>
  <c r="F31" i="3" s="1"/>
  <c r="J30" i="3"/>
  <c r="J31" i="3" l="1"/>
  <c r="F32" i="3" a="1"/>
  <c r="F32" i="3" s="1"/>
  <c r="F33" i="3" l="1" a="1"/>
  <c r="F33" i="3" s="1"/>
  <c r="J32" i="3"/>
  <c r="J33" i="3" l="1"/>
  <c r="F34" i="3" a="1"/>
  <c r="F34" i="3" s="1"/>
  <c r="F35" i="3" l="1" a="1"/>
  <c r="F35" i="3" s="1"/>
  <c r="J34" i="3"/>
  <c r="J35" i="3" l="1"/>
  <c r="F36" i="3" a="1"/>
  <c r="F36" i="3" s="1"/>
  <c r="J36" i="3" l="1"/>
  <c r="F37" i="3" a="1"/>
  <c r="F37" i="3" s="1"/>
  <c r="J37" i="3" l="1"/>
  <c r="F38" i="3" a="1"/>
  <c r="F38" i="3" s="1"/>
  <c r="J38" i="3" l="1"/>
  <c r="F39" i="3" a="1"/>
  <c r="F39" i="3" s="1"/>
  <c r="F40" i="3" l="1" a="1"/>
  <c r="F40" i="3" s="1"/>
  <c r="J39" i="3"/>
  <c r="J40" i="3" l="1"/>
  <c r="F41" i="3" a="1"/>
  <c r="F41" i="3" s="1"/>
  <c r="F42" i="3" l="1" a="1"/>
  <c r="F42" i="3" s="1"/>
  <c r="J41" i="3"/>
  <c r="F43" i="3" l="1" a="1"/>
  <c r="F43" i="3" s="1"/>
  <c r="J42" i="3"/>
  <c r="J43" i="3" l="1"/>
  <c r="F44" i="3" a="1"/>
  <c r="F44" i="3" s="1"/>
  <c r="F45" i="3" l="1" a="1"/>
  <c r="F45" i="3" s="1"/>
  <c r="J44" i="3"/>
  <c r="J45" i="3" l="1"/>
  <c r="F46" i="3" a="1"/>
  <c r="F46" i="3" s="1"/>
  <c r="F47" i="3" l="1" a="1"/>
  <c r="F47" i="3" s="1"/>
  <c r="F48" i="3" s="1" a="1"/>
  <c r="F48" i="3" s="1"/>
  <c r="F49" i="3" s="1" a="1"/>
  <c r="F49" i="3" s="1"/>
  <c r="J46" i="3"/>
  <c r="J49" i="3" l="1"/>
  <c r="F50" i="3" a="1"/>
  <c r="F50" i="3" s="1"/>
  <c r="J50" i="3" l="1"/>
  <c r="F51" i="3" a="1"/>
  <c r="F51" i="3" s="1"/>
  <c r="F52" i="3" l="1" a="1"/>
  <c r="F52" i="3" s="1"/>
  <c r="J51" i="3"/>
  <c r="J52" i="3" l="1"/>
  <c r="F53" i="3" a="1"/>
  <c r="F53" i="3" s="1"/>
  <c r="J53" i="3" l="1"/>
  <c r="F54" i="3" a="1"/>
  <c r="F54" i="3" s="1"/>
  <c r="J54" i="3" l="1"/>
  <c r="F55" i="3" a="1"/>
  <c r="F55" i="3" s="1"/>
  <c r="J55" i="3" l="1"/>
  <c r="F56" i="3" a="1"/>
  <c r="F56" i="3" s="1"/>
  <c r="J56" i="3" l="1"/>
  <c r="F57" i="3" a="1"/>
  <c r="F57" i="3" s="1"/>
  <c r="J57" i="3" l="1"/>
  <c r="F58" i="3" a="1"/>
  <c r="F58" i="3" s="1"/>
  <c r="J58" i="3" l="1"/>
  <c r="F59" i="3" a="1"/>
  <c r="F59" i="3" s="1"/>
  <c r="J59" i="3" l="1"/>
  <c r="F60" i="3" a="1"/>
  <c r="F60" i="3" s="1"/>
  <c r="J60" i="3" l="1"/>
  <c r="F61" i="3" a="1"/>
  <c r="F61" i="3" s="1"/>
  <c r="J48" i="3"/>
  <c r="J47" i="3"/>
  <c r="J61" i="3" l="1"/>
  <c r="F62" i="3" l="1" a="1"/>
  <c r="F62" i="3" s="1"/>
  <c r="F63" i="3" s="1" a="1"/>
  <c r="F63" i="3" s="1"/>
  <c r="F64" i="3" s="1" a="1"/>
  <c r="F64" i="3" s="1"/>
  <c r="J64" i="3" l="1"/>
  <c r="F65" i="3" a="1"/>
  <c r="F65" i="3" s="1"/>
  <c r="F66" i="3" s="1" a="1"/>
  <c r="F66" i="3" s="1"/>
  <c r="J62" i="3"/>
  <c r="J65" i="3" l="1"/>
  <c r="J66" i="3"/>
  <c r="J63" i="3" l="1"/>
  <c r="F67" i="3" a="1"/>
  <c r="F67" i="3" s="1"/>
  <c r="F68" i="3" s="1" a="1"/>
  <c r="F68" i="3" s="1"/>
  <c r="J67" i="3" l="1"/>
  <c r="J6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statsmodels import api
from scipy import stats
# Data
fund = xl(%P2%).squeeze()
benchmark = xl(%P3%).squeeze()
rfr = xl(%P4%).squeeze()
# Functions
def cumulative_excess_return(ts, bm):
    return cumulative_return(ts) - cumulative_return(bm)
def excess_return(ts, bm):
    return annualized_return(ts) - annualized_return(bm)
def excess_return_geometric(ts, bm):
    return np.expm1((np.log1p(ts) - np.log1p(bm)).mean() * 12)
def gaussian_var(ts, q=0.95):
    return ts.mean() - stats.norm.ppf(q) * ts.std()
def conditional_var_other(ts, q=0.95):
    return ts[ts &lt;= gaussian_var(ts, q=q)].mean()
def cornish_fisher_var(ts, q=0.95):
    z = -stats.norm.ppf(q)
    return ts.mean() + (z + ts.skew() * (z ** 2 - 1) / 6 + ts.kurtosis() * (z ** 3 - 3 * z) / 24 - ts.skew() ** 2 * (2 * z ** 3 - 5 * z) / 36) * ts.std()
def gaussian_cvar(ts, q=0.95):
    a = 1 - q
    return ts.mean() - ts.std() * stats.norm.pdf(stats.norm.ppf(a)) / a
def historical_var(ts, q=0.95):
    return ts.quantile(1-q)
def historical_cvar(ts, q=0.95):
    return ts[ts &lt; historical_var(ts, q)].mean()
def annualized_return(ts):
    return np.expm1(np.log1p(ts).mean() * 12)
def vami(ts):
    return np.exp(np.log1p(ts).cumsum())
def growth_of(ts, init=100):
    return init * (1 + cumulative_return(ts))
def information_ratio(ts, bm):
    return (annualized_return(ts) - annualized_return(bm)) / tracking_error(ts, bm)
def jensen_alpha(ts, bm, rfr):
    return (1 + ts.mean() - rfr.mean() - beta(ts, bm) * (bm.mean() - rfr.mean())) ** 12 - 1
def jarque_bera(ts):
    return ts.count() / 6 * (ts.skew() ** 2 + ts.kurtosis() ** 2 / 4)
# FIXME
def underwater(ts):
    v = vami(ts)
    return v / v.cummax() - 1
def max_drawdown(ts):
    return underwater(ts).min()
def current_drawdown(ts):
    return underwater(ts).iloc[-1]
def average_drawdown(ts):
    u = underwater(ts)    
    g = u.groupby((u == 0).cumsum()).min()
    return g[g &lt; 0].mean()
def consecutive_positive_periods(ts):
    return ts[ts &gt; 0].groupby((ts &lt;= 0).cumsum()).count().max()
def consecutive_negative_periods(ts):
    return ts[ts &lt; 0].groupby((ts &gt;= 0).cumsum()).count().max()
def max_consecutive_gain(ts):
    return ((1 + ts)[ts &gt; 0].groupby((ts &lt;= 0).cumsum())).prod().max() - 1
def max_consecutive_loss(ts):
    return ((1 + ts)[ts &lt; 0].groupby((ts &gt;= 0).cumsum())).prod().min() - 1
def observations(ts):
    return ts.count()
def alpha_annualized(ts, bm):
    result = api.OLS(ts, api.add_constant(bm)).fit()
    return (1 + result.params.iloc[0]) ** 12 - 1
def autocorrelation(ts):
    return ts.iloc[:-1].corr(ts.shift(-1))
def average_return(ts):
    return ts.mean()
def average_positive_return(ts):
    return ts[ts &gt;= 0].mean()
def average_negative_return(ts):
    return ts[ts &lt; 0].mean()
def batting_average(ts, bm):
    return (ts &gt; bm).sum() / ts.count()
def best_period(ts):
    return max(ts)
def beta(ts, bm):
    result = api.OLS(ts, api.add_constant(bm)).fit()
    return result.params.iloc[1]
def standard_error(ts, bm):
    result = api.OLS(ts, api.add_constant(bm)).fit()
    return result.mse_resid ** 0.5
def beta_adjusted(ts, bm, rfr):
    result = api.OLS(ts - rfr, api.add_constant(bm - rfr)).fit()
    return result.params.iloc[1]
def beta_t_stat(ts, bm):
    result = api.OLS(ts, api.add_constant(bm)).fit()
    return result.tvalues.iloc[1]
def bias_ratio(ts):
    z = fund / fund.std()
    return ((z &gt;= 0) &amp; (z &lt;= 1)).sum() / (((z &gt;= -1) &amp; (z &lt; 0)).sum() + 1)
def calmar_ratio(ts):
    return annualized_return(ts) / -max_drawdown(ts)
def correlation(ts, bm):
    return ts.corr(bm)
def r_squared(ts, bm):
    return ts.corr(bm) ** 2
def cumulative_return(ts):
    return (1 + ts).prod() - 1
def down_market_capture(ts, bm):
    down = bm &lt; 0
    n = bm[down].count()    
    return ((1 + ts[down]).prod() ** (12 / n) - 1) / ((1 + bm[down]).prod() ** (12 / n) - 1) * 100
def gain_loss_ratio(ts):
    return average_positive_return(ts) / -average_negative_return(ts)
def kurtosis(ts):
    return ts.kurtosis()
def skewness(ts):
    return ts.skew()
def sharpe_ratio(ts, rfr):
    return (annualized_return(ts) - annualized_return(rfr)) / annualized_volatility(ts)
def sterling_ratio(ts):
    return annualized_return(ts) / (0.1 - average_drawdown(ts))
def treynor_ratio(ts, bm):
    return (annualized_return(ts) - annualized_return(rfr)) / beta(ts, bm)
def annualized_volatility(ts):
    return ts.std() * 12 ** 0.5
def up_market_capture(ts, bm):
    up = bm &gt;= 0
    n = bm[up].count()    
    return ((1 + ts[up]).prod() ** (12 / n) - 1) / ((1 + bm[up]).prod() ** (12 / n) - 1) * 100
def annualized_variance(ts):
    return ts.var() * 12
def tracking_error(ts, bm):
    return (ts - bm).std() * 12 ** 0.5
def worst_period(ts):
    return min(ts)
def kendall_tau_b(x, y, variant='b'):
    r = stats.kendalltau(x, y, variant=variant)
    return r.statistic
def periods_above_benchmark(ts, bm):
    return (ts &gt; bm).sum()
def percent_above_benchmark(ts, bm):
    return periods_above_benchmark(ts, bm) / observations(ts)
def positive_periods(ts):
    return (ts &gt; 0).sum()
def percent_positive(ts):
    return positive_periods(ts) / observations(ts)
def negative_periods(ts):
    return (ts &lt; 0).sum()
def reward_to_risk_ratio(ts):
    return annualized_return(ts) / annualized_volatility(ts)
def rolling_batting_average(ts, bm):
    ts36 = ts.rolling(36, min_periods=36).apply(annualized_return)
    bm36 = bm.rolling(36, min_periods=36).apply(annualized_return)
    return (ts36 &gt; bm36).sum() / ts36.count()
def semi_deviation(ts):
    x = ts - ts.mean()
    return (x[x &lt; 0].apply(lambda y: y ** 2).sum() / ((x &lt; 0).sum() - 1) * 12) ** 0.5
def up_market_return(ts, bm):
    return np.expm1(np.log1p(ts[bm &gt; 0]).mean() * 12)
def down_market_return(ts, bm):
    return np.expm1(np.log1p(ts[bm &lt; 0]).mean() * 12)
def up_market_percent(ts, bm):
    return ts[(ts &gt; bm) &amp; (bm &gt; 0)].count() / (bm &gt; 0).sum()
def down_market_percent(ts, bm):
    return ts[(ts &gt; bm) &amp; (bm &lt; 0)].count() / (bm &lt; 0).sum()
def gain_deviation(ts, mar=0):
    gain = ts - mar
    return (gain[gain &gt; 0].apply(lambda x: x ** 2).sum() / ts.count() * 12) ** 0.5
def loss_deviation(ts, rfr):
    loss = ts - rfr
    return (loss[loss &lt; 0].apply(lambda x: x ** 2).sum() / ts.count() * 12) ** 0.5
def sortino_ratio(ts, rfr):
    return (annualized_return(ts) - annualized_return(rfr)) / loss_deviation(ts, rfr)</code>
    </pythonScript>
    <pythonScript>
      <code>cumulative_return(fund)</code>
    </pythonScript>
    <pythonScript>
      <code>annualized_return(fund)</code>
    </pythonScript>
    <pythonScript>
      <code>growth_of(fund)</code>
    </pythonScript>
    <pythonScript>
      <code>observations(fund)</code>
    </pythonScript>
    <pythonScript>
      <code>positive_periods(fund)</code>
    </pythonScript>
    <pythonScript>
      <code>negative_periods(fund)</code>
    </pythonScript>
    <pythonScript>
      <code>average_return(fund)</code>
    </pythonScript>
    <pythonScript>
      <code>average_positive_return(fund)</code>
    </pythonScript>
    <pythonScript>
      <code>average_negative_return(fund)</code>
    </pythonScript>
    <pythonScript>
      <code>best_period(fund)</code>
    </pythonScript>
    <pythonScript>
      <code>worst_period(fund)</code>
    </pythonScript>
    <pythonScript>
      <code>max_consecutive_gain(fund)</code>
    </pythonScript>
    <pythonScript>
      <code>max_consecutive_loss(fund)</code>
    </pythonScript>
    <pythonScript>
      <code>consecutive_positive_periods(fund)</code>
    </pythonScript>
    <pythonScript>
      <code>consecutive_negative_periods(fund)</code>
    </pythonScript>
    <pythonScript>
      <code>cumulative_excess_return(fund, benchmark)</code>
    </pythonScript>
    <pythonScript>
      <code>excess_return(fund, benchmark)</code>
    </pythonScript>
    <pythonScript>
      <code>excess_return_geometric(fund, benchmark)</code>
    </pythonScript>
    <pythonScript>
      <code>periods_above_benchmark(fund, benchmark)</code>
    </pythonScript>
    <pythonScript>
      <code>percent_above_benchmark(fund, benchmark)</code>
    </pythonScript>
    <pythonScript>
      <code>percent_positive(fund)</code>
    </pythonScript>
    <pythonScript>
      <code>annualized_volatility(fund)</code>
    </pythonScript>
    <pythonScript>
      <code>annualized_variance(fund)</code>
    </pythonScript>
    <pythonScript>
      <code xml:space="preserve">skewness(fund)
</code>
    </pythonScript>
    <pythonScript>
      <code>kurtosis(fund)</code>
    </pythonScript>
    <pythonScript>
      <code>jarque_bera(fund)</code>
    </pythonScript>
    <pythonScript>
      <code>max_drawdown(fund)</code>
    </pythonScript>
    <pythonScript>
      <code>average_drawdown(fund)</code>
    </pythonScript>
    <pythonScript>
      <code>current_drawdown(fund)</code>
    </pythonScript>
    <pythonScript>
      <code>semi_deviation(fund)</code>
    </pythonScript>
    <pythonScript>
      <code xml:space="preserve">gain_deviation(fund, 0)
</code>
    </pythonScript>
    <pythonScript>
      <code>loss_deviation(fund, rfr)</code>
    </pythonScript>
    <pythonScript>
      <code>bias_ratio(fund)</code>
    </pythonScript>
    <pythonScript>
      <code>gain_loss_ratio(fund)</code>
    </pythonScript>
    <pythonScript>
      <code>beta(fund, benchmark)</code>
    </pythonScript>
    <pythonScript>
      <code>beta_t_stat(fund, benchmark)</code>
    </pythonScript>
    <pythonScript>
      <code>beta_adjusted(fund, benchmark, rfr)</code>
    </pythonScript>
    <pythonScript>
      <code>alpha_annualized(fund, benchmark)</code>
    </pythonScript>
    <pythonScript>
      <code>jensen_alpha(fund, benchmark, rfr)</code>
    </pythonScript>
    <pythonScript>
      <code>correlation(fund, benchmark)</code>
    </pythonScript>
    <pythonScript>
      <code>r_squared(fund, benchmark)</code>
    </pythonScript>
    <pythonScript>
      <code>standard_error(fund, benchmark)</code>
    </pythonScript>
    <pythonScript>
      <code>autocorrelation(fund)</code>
    </pythonScript>
    <pythonScript>
      <code>kendall_tau_b(np.array([12,2,1,12,2]),np.array([1,4,7,1,0]))</code>
    </pythonScript>
    <pythonScript>
      <code>kendall_tau_b(np.array([12,2,1,12,2]),np.array([1,4,7,1,0]), variant='c')</code>
    </pythonScript>
    <pythonScript>
      <code>sharpe_ratio(fund, rfr)</code>
    </pythonScript>
    <pythonScript>
      <code>reward_to_risk_ratio(fund)</code>
    </pythonScript>
    <pythonScript>
      <code>treynor_ratio(fund, benchmark)</code>
    </pythonScript>
    <pythonScript>
      <code>sortino_ratio(fund, rfr)</code>
    </pythonScript>
    <pythonScript>
      <code>sterling_ratio(fund)</code>
    </pythonScript>
    <pythonScript>
      <code>calmar_ratio(fund)</code>
    </pythonScript>
    <pythonScript>
      <code>up_market_return(fund, benchmark)</code>
    </pythonScript>
    <pythonScript>
      <code>down_market_return(fund, benchmark)</code>
    </pythonScript>
    <pythonScript>
      <code>up_market_capture(fund, benchmark)</code>
    </pythonScript>
    <pythonScript>
      <code>down_market_capture(fund, benchmark)</code>
    </pythonScript>
    <pythonScript>
      <code>tracking_error(fund, benchmark)</code>
    </pythonScript>
    <pythonScript>
      <code>information_ratio(fund, benchmark)</code>
    </pythonScript>
    <pythonScript>
      <code>batting_average(fund, benchmark)</code>
    </pythonScript>
    <pythonScript>
      <code>up_market_percent(fund, benchmark)</code>
    </pythonScript>
    <pythonScript>
      <code>down_market_percent(fund, benchmark)</code>
    </pythonScript>
    <pythonScript>
      <code>rolling_batting_average(fund, benchmark)</code>
    </pythonScript>
    <pythonScript>
      <code>historical_var(fund)</code>
    </pythonScript>
    <pythonScript>
      <code>historical_cvar(fund)</code>
    </pythonScript>
    <pythonScript>
      <code>gaussian_var(fund)</code>
    </pythonScript>
    <pythonScript>
      <code>gaussian_cvar(fund)</code>
    </pythonScript>
    <pythonScript>
      <code>cornish_fisher_var(fund)</code>
    </pythonScript>
    <pythonScript>
      <code>conditional_var_other(fund)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<sst xmlns="http://schemas.openxmlformats.org/spreadsheetml/2006/main" count="203" uniqueCount="121">
  <si>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</si>
  <si>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</si>
  <si>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</si>
  <si>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</si>
  <si>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</si>
  <si>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</si>
  <si>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</si>
  <si>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</si>
  <si>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</si>
  <si>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</si>
  <si>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</si>
  <si>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</si>
  <si>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</si>
  <si>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</si>
  <si>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</si>
  <si>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</si>
  <si>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</si>
  <si>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</si>
  <si>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</si>
  <si>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</si>
  <si>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</si>
  <si>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</si>
  <si>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</si>
  <si>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</si>
  <si>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</si>
  <si>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</si>
  <si>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</si>
  <si>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</si>
  <si>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</si>
  <si>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</si>
  <si>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</si>
  <si>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</si>
  <si>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</si>
  <si>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</si>
  <si>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</si>
  <si>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</si>
  <si>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</si>
  <si>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</si>
  <si>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</si>
  <si>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</si>
  <si>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Cornish-Fisher VaR</t>
  </si>
  <si>
    <t>Correlation Coefficient</t>
  </si>
  <si>
    <t>Cumulative Excess Returns</t>
  </si>
  <si>
    <t>Cumulative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</si>
  <si>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</si>
  <si>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</si>
  <si>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</si>
  <si>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</si>
  <si>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</si>
  <si>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</si>
  <si>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</si>
  <si>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</si>
  <si>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</si>
  <si>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</si>
  <si>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</si>
  <si>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</si>
  <si>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</si>
  <si>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</si>
  <si>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</si>
  <si>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</si>
  <si>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</si>
  <si>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</si>
  <si>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</si>
  <si>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</si>
  <si>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</si>
  <si>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</si>
  <si>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</si>
  <si>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</si>
  <si>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</si>
  <si>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</si>
  <si>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</si>
  <si>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</si>
  <si>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</si>
  <si>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</si>
  <si>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</si>
  <si>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</si>
  <si>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</si>
  <si>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</si>
  <si>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</si>
  <si>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</si>
  <si>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</si>
  <si>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</si>
  <si>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</si>
  <si>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</si>
  <si>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</si>
  <si>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</si>
  <si>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</si>
  <si>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</si>
  <si>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Efficiency</t>
  </si>
  <si>
    <t>Returns (Annualized)</t>
  </si>
  <si>
    <t>Value at Risk</t>
  </si>
  <si>
    <t>Negative</t>
  </si>
  <si>
    <t>Note</t>
  </si>
  <si>
    <t>Loss Deviation</t>
  </si>
  <si>
    <t>N = Number of observations, aka Downside Risk, use Rfr instead of MAR</t>
  </si>
  <si>
    <t>Growth of $100</t>
  </si>
  <si>
    <t>Excel</t>
  </si>
  <si>
    <t>Python</t>
  </si>
  <si>
    <t>Calendar Year</t>
  </si>
  <si>
    <t>Cumulative</t>
  </si>
  <si>
    <t>DAX</t>
  </si>
  <si>
    <t>Down Market Return</t>
  </si>
  <si>
    <t>Down Market Capture Ratio</t>
  </si>
  <si>
    <t>Tableau</t>
  </si>
  <si>
    <t>FIXME: No hard code</t>
  </si>
  <si>
    <t>Difference</t>
  </si>
  <si>
    <t>Lambda</t>
  </si>
  <si>
    <t>Kendall's Tau-b</t>
  </si>
  <si>
    <t>Kendall's Tau-c</t>
  </si>
  <si>
    <t>Outperformed benchmark in up market (fka Down Period Percent)</t>
  </si>
  <si>
    <t>Down Market Batting Average</t>
  </si>
  <si>
    <t>Outperformed benchmark in up market (fka Up Period Percent)</t>
  </si>
  <si>
    <t>Up Period Batting Average</t>
  </si>
  <si>
    <t>Excess Returns - Arithmetic</t>
  </si>
  <si>
    <t>Not by calendar year</t>
  </si>
  <si>
    <t>Historical VaR</t>
  </si>
  <si>
    <t>Historical CVaR</t>
  </si>
  <si>
    <t>x</t>
  </si>
  <si>
    <t>Gaussian CVaR</t>
  </si>
  <si>
    <t>CVaR (Mixing both Gaussian &amp; Historical)</t>
  </si>
  <si>
    <t>Not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</si>
</sst>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7" dataDxfId="16" headerRowCellStyle="Percent" dataCellStyle="Percent">
  <autoFilter ref="A1:D120" xr:uid="{C9CC8115-AF40-444A-958D-598AA1DF9B17}"/>
  <tableColumns count="4">
    <tableColumn id="1" xr3:uid="{934F9B54-BCDC-4533-B1B1-9C333060832D}" name="Date" dataDxfId="15" dataCellStyle="Percent"/>
    <tableColumn id="2" xr3:uid="{6894530B-F553-43CC-9FDC-787C277A8B34}" name="Fund" dataDxfId="14" dataCellStyle="Percent"/>
    <tableColumn id="3" xr3:uid="{49B91F60-9CCF-4FB0-878B-A088A4D53F34}" name="Benchmark" dataDxfId="13" dataCellStyle="Percent"/>
    <tableColumn id="4" xr3:uid="{67B15DDD-17B4-498D-9CC1-90B6D6245E42}" name="Rfr" dataDxfId="12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K68" totalsRowShown="0" headerRowDxfId="0" dataDxfId="11">
  <autoFilter ref="A1:K68" xr:uid="{387C8585-C148-48FB-BE25-789C4A93A00A}"/>
  <sortState xmlns:xlrd2="http://schemas.microsoft.com/office/spreadsheetml/2017/richdata2" ref="A2:K68">
    <sortCondition ref="A1:A68"/>
  </sortState>
  <tableColumns count="11">
    <tableColumn id="1" xr3:uid="{0896B2A4-3FD6-4F96-B098-E36AF3600DF1}" name="#" dataDxfId="1"/>
    <tableColumn id="8" xr3:uid="{5D783CAF-456E-44A8-984E-44F5F13251CA}" name="Category" dataDxfId="2"/>
    <tableColumn id="2" xr3:uid="{BB4CFEBF-2FF7-42BC-80D8-A235D28FBFA8}" name="Measure" dataDxfId="10"/>
    <tableColumn id="4" xr3:uid="{64C2C66E-6921-4B7E-9943-6E8BA2868948}" name="Excel" dataDxfId="9">
      <calculatedColumnFormula array="1">SLOPE(Data!B2:B112-Data!D2:D112,Data!C2:C112-Data!D2:D112)</calculatedColumnFormula>
    </tableColumn>
    <tableColumn id="11" xr3:uid="{B96A6520-65E0-46FC-B60B-ADC6F24CD3F3}" name="Lambda"/>
    <tableColumn id="6" xr3:uid="{9731C190-7179-4E88-A070-669514D94365}" name="Python" dataDxfId="8">
      <calculatedColumnFormula array="1">_xlfn._xlws.PY(68,0)</calculatedColumnFormula>
    </tableColumn>
    <tableColumn id="9" xr3:uid="{F87E6222-ED22-4FF1-AA5E-1201632F2D18}" name="DAX" dataDxfId="7"/>
    <tableColumn id="10" xr3:uid="{560A41CF-9E85-49BA-806C-90A7D64564C7}" name="Tableau" dataDxfId="6"/>
    <tableColumn id="3" xr3:uid="{013E5404-1A14-4431-8E2A-694A5BE8D601}" name="Expected" dataDxfId="5"/>
    <tableColumn id="5" xr3:uid="{166995D0-19C3-421F-8A7A-6861312D2CA4}" name="Difference" dataDxfId="4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topLeftCell="Y1" workbookViewId="0">
      <pane ySplit="2" topLeftCell="A3" activePane="bottomLeft" state="frozen"/>
      <selection pane="bottomLeft" activeCell="AI10" sqref="AI10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2" width="8.88671875" style="22"/>
    <col min="43" max="43" width="8.88671875" style="2"/>
    <col min="44" max="44" width="8.88671875" style="3"/>
    <col min="45" max="45" width="8.88671875" style="2"/>
    <col min="46" max="46" width="8.88671875" style="1"/>
    <col min="47" max="16384" width="8.88671875" style="2"/>
  </cols>
  <sheetData>
    <row r="1" spans="1:46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6" t="s">
        <v>98</v>
      </c>
      <c r="AR1" s="11"/>
      <c r="AT1" s="9" t="s">
        <v>99</v>
      </c>
    </row>
    <row r="2" spans="1:46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M68"/>
  <sheetViews>
    <sheetView tabSelected="1" workbookViewId="0">
      <pane ySplit="1" topLeftCell="A2" activePane="bottomLeft" state="frozen"/>
      <selection pane="bottomLeft" activeCell="M3" sqref="M3"/>
    </sheetView>
  </sheetViews>
  <sheetFormatPr defaultColWidth="8.88671875" defaultRowHeight="12" x14ac:dyDescent="0.25"/>
  <cols>
    <col min="1" max="1" width="3.88671875" style="23" bestFit="1" customWidth="1"/>
    <col min="2" max="2" width="9.6640625" style="2" bestFit="1" customWidth="1"/>
    <col min="3" max="3" width="29.6640625" style="2" bestFit="1" customWidth="1"/>
    <col min="4" max="4" width="10.77734375" style="2" bestFit="1" customWidth="1"/>
    <col min="5" max="5" width="9.44140625" style="2" customWidth="1"/>
    <col min="6" max="6" width="9.6640625" style="2" bestFit="1" customWidth="1"/>
    <col min="7" max="7" width="8.5546875" style="2" hidden="1" customWidth="1"/>
    <col min="8" max="8" width="8.44140625" style="2" hidden="1" customWidth="1"/>
    <col min="9" max="9" width="9.44140625" style="2" hidden="1" customWidth="1"/>
    <col min="10" max="10" width="7.77734375" style="15" bestFit="1" customWidth="1"/>
    <col min="11" max="11" width="50.88671875" style="2" customWidth="1"/>
    <col min="12" max="12" width="2.6640625" style="2" customWidth="1"/>
    <col min="13" max="13" width="7.88671875" style="2" bestFit="1" customWidth="1"/>
    <col min="14" max="16384" width="8.88671875" style="2"/>
  </cols>
  <sheetData>
    <row r="1" spans="1:13" s="24" customFormat="1" x14ac:dyDescent="0.25">
      <c r="A1" s="24" t="s">
        <v>10</v>
      </c>
      <c r="B1" s="24" t="s">
        <v>75</v>
      </c>
      <c r="C1" s="24" t="s">
        <v>28</v>
      </c>
      <c r="D1" s="24" t="s">
        <v>96</v>
      </c>
      <c r="E1" s="24" t="s">
        <v>106</v>
      </c>
      <c r="F1" s="24" t="s">
        <v>97</v>
      </c>
      <c r="G1" s="24" t="s">
        <v>100</v>
      </c>
      <c r="H1" s="24" t="s">
        <v>103</v>
      </c>
      <c r="I1" s="24" t="s">
        <v>70</v>
      </c>
      <c r="J1" s="25" t="s">
        <v>105</v>
      </c>
      <c r="K1" s="24" t="s">
        <v>92</v>
      </c>
      <c r="M1" s="24" cm="1" vm="1">
        <f t="array" ref="M1">_xlfn._xlws.PY(0,0,Fund,Benchmark,Rfr)</f>
        <v>0</v>
      </c>
    </row>
    <row r="2" spans="1:13" x14ac:dyDescent="0.25">
      <c r="A2" s="23">
        <v>1</v>
      </c>
      <c r="B2" s="2" t="s">
        <v>83</v>
      </c>
      <c r="C2" s="2" t="s">
        <v>43</v>
      </c>
      <c r="D2" s="17">
        <f>FVSCHEDULE(1,Fund)-1</f>
        <v>1.2988460421583965</v>
      </c>
      <c r="E2" s="17" cm="1">
        <f t="array" ref="E2">CUMRET(Fund)</f>
        <v>1.2988460421583965</v>
      </c>
      <c r="F2" s="17" cm="1">
        <f t="array" ref="F2">_xlfn._xlws.PY(1,0)</f>
        <v>1.2988460421583965</v>
      </c>
      <c r="G2" s="17">
        <v>1.2988459999999999</v>
      </c>
      <c r="H2" s="17">
        <v>1.2988459999999999</v>
      </c>
      <c r="I2" s="3">
        <v>1.2988459999999999</v>
      </c>
      <c r="J2" s="15">
        <f>MAX(Table1[[#This Row],[Excel]:[Expected]])-MIN(Table1[[#This Row],[Excel]:[Expected]])</f>
        <v>4.2158396551528199E-8</v>
      </c>
    </row>
    <row r="3" spans="1:13" x14ac:dyDescent="0.25">
      <c r="A3" s="23">
        <v>2</v>
      </c>
      <c r="B3" s="2" t="s">
        <v>83</v>
      </c>
      <c r="C3" s="2" t="s">
        <v>89</v>
      </c>
      <c r="D3" s="17" cm="1">
        <f t="array" ref="D3">GEOMEAN(1+Fund)^12-1</f>
        <v>8.756388766775336E-2</v>
      </c>
      <c r="E3" s="17" cm="1">
        <f t="array" ref="E3">ANNRET(Fund)</f>
        <v>8.756388766775336E-2</v>
      </c>
      <c r="F3" s="17" cm="1">
        <f t="array" ref="F3">_xlfn._xlws.PY(2,0)</f>
        <v>8.7563887667752152E-2</v>
      </c>
      <c r="G3" s="17">
        <v>8.7564000000000003E-2</v>
      </c>
      <c r="H3" s="17">
        <v>8.7564000000000003E-2</v>
      </c>
      <c r="I3" s="18">
        <v>8.7564000000000003E-2</v>
      </c>
      <c r="J3" s="15">
        <f>MAX(Table1[[#This Row],[Excel]:[Expected]])-MIN(Table1[[#This Row],[Excel]:[Expected]])</f>
        <v>1.1233224785078821E-7</v>
      </c>
    </row>
    <row r="4" spans="1:13" x14ac:dyDescent="0.25">
      <c r="A4" s="23">
        <v>3</v>
      </c>
      <c r="B4" s="2" t="s">
        <v>83</v>
      </c>
      <c r="C4" s="2" t="s">
        <v>95</v>
      </c>
      <c r="D4" s="15">
        <f>100*(1+D2)</f>
        <v>229.88460421583966</v>
      </c>
      <c r="E4" s="15" cm="1">
        <f t="array" ref="E4">GROWTHOF(Fund,)</f>
        <v>229.88460421583966</v>
      </c>
      <c r="F4" s="15" cm="1">
        <f t="array" ref="F4">_xlfn._xlws.PY(3,0)</f>
        <v>229.88460421583966</v>
      </c>
      <c r="G4" s="15">
        <v>229.88460000000001</v>
      </c>
      <c r="H4" s="15">
        <v>229.88460000000001</v>
      </c>
      <c r="I4" s="15">
        <v>229.88460000000001</v>
      </c>
      <c r="J4" s="15">
        <f>MAX(Table1[[#This Row],[Excel]:[Expected]])-MIN(Table1[[#This Row],[Excel]:[Expected]])</f>
        <v>4.2158396524882846E-6</v>
      </c>
    </row>
    <row r="5" spans="1:13" x14ac:dyDescent="0.25">
      <c r="A5" s="23">
        <v>4</v>
      </c>
      <c r="B5" s="2" t="s">
        <v>83</v>
      </c>
      <c r="C5" s="2" t="s">
        <v>84</v>
      </c>
      <c r="D5" s="2">
        <f>COUNT(Fund)</f>
        <v>119</v>
      </c>
      <c r="E5" s="2" cm="1">
        <f t="array" ref="E5">PER(Fund)</f>
        <v>119</v>
      </c>
      <c r="F5" s="2" cm="1">
        <f t="array" ref="F5">_xlfn._xlws.PY(4,0)</f>
        <v>119</v>
      </c>
      <c r="G5" s="2">
        <v>119</v>
      </c>
      <c r="H5" s="2">
        <v>119</v>
      </c>
      <c r="I5" s="2">
        <v>119</v>
      </c>
      <c r="J5" s="15">
        <f>MAX(Table1[[#This Row],[Excel]:[Expected]])-MIN(Table1[[#This Row],[Excel]:[Expected]])</f>
        <v>0</v>
      </c>
    </row>
    <row r="6" spans="1:13" x14ac:dyDescent="0.25">
      <c r="A6" s="23">
        <v>5</v>
      </c>
      <c r="B6" s="2" t="s">
        <v>83</v>
      </c>
      <c r="C6" s="2" t="s">
        <v>55</v>
      </c>
      <c r="D6" s="16">
        <f>COUNTIF(Fund,"&gt;0")</f>
        <v>67</v>
      </c>
      <c r="E6" s="16" cm="1">
        <f t="array" ref="E6">PERPOS(Fund)</f>
        <v>67</v>
      </c>
      <c r="F6" s="16" cm="1">
        <f t="array" ref="F6">_xlfn._xlws.PY(5,0)</f>
        <v>67</v>
      </c>
      <c r="G6" s="16">
        <v>67</v>
      </c>
      <c r="H6" s="16">
        <v>67</v>
      </c>
      <c r="I6" s="2">
        <v>67</v>
      </c>
      <c r="J6" s="15">
        <f>MAX(Table1[[#This Row],[Excel]:[Expected]])-MIN(Table1[[#This Row],[Excel]:[Expected]])</f>
        <v>0</v>
      </c>
    </row>
    <row r="7" spans="1:13" x14ac:dyDescent="0.25">
      <c r="A7" s="23">
        <v>6</v>
      </c>
      <c r="B7" s="2" t="s">
        <v>83</v>
      </c>
      <c r="C7" s="2" t="s">
        <v>56</v>
      </c>
      <c r="D7" s="16">
        <f>COUNTIF(Fund,"&lt;0")</f>
        <v>52</v>
      </c>
      <c r="E7" s="16" cm="1">
        <f t="array" ref="E7">PERNEG(Fund)</f>
        <v>52</v>
      </c>
      <c r="F7" s="16" cm="1">
        <f t="array" ref="F7">_xlfn._xlws.PY(6,0)</f>
        <v>52</v>
      </c>
      <c r="G7" s="16">
        <v>52</v>
      </c>
      <c r="H7" s="16">
        <v>52</v>
      </c>
      <c r="I7" s="2">
        <v>52</v>
      </c>
      <c r="J7" s="15">
        <f>MAX(Table1[[#This Row],[Excel]:[Expected]])-MIN(Table1[[#This Row],[Excel]:[Expected]])</f>
        <v>0</v>
      </c>
    </row>
    <row r="8" spans="1:13" x14ac:dyDescent="0.25">
      <c r="A8" s="23">
        <v>7</v>
      </c>
      <c r="B8" s="2" t="s">
        <v>83</v>
      </c>
      <c r="C8" s="2" t="s">
        <v>31</v>
      </c>
      <c r="D8" s="3">
        <f>AVERAGE(Fund)</f>
        <v>1.2003655462184874E-2</v>
      </c>
      <c r="E8" s="3" cm="1">
        <f t="array" ref="E8">AVGRET(Fund)</f>
        <v>1.2003655462184874E-2</v>
      </c>
      <c r="F8" s="3" cm="1">
        <f t="array" ref="F8">_xlfn._xlws.PY(7,0)</f>
        <v>1.2003655462184874E-2</v>
      </c>
      <c r="G8" s="3">
        <v>1.2004000000000001E-2</v>
      </c>
      <c r="H8" s="3">
        <v>1.2E-2</v>
      </c>
      <c r="I8" s="3">
        <v>1.2E-2</v>
      </c>
      <c r="J8" s="15">
        <f>MAX(Table1[[#This Row],[Excel]:[Expected]])-MIN(Table1[[#This Row],[Excel]:[Expected]])</f>
        <v>4.0000000000005309E-6</v>
      </c>
    </row>
    <row r="9" spans="1:13" x14ac:dyDescent="0.25">
      <c r="A9" s="23">
        <v>8</v>
      </c>
      <c r="B9" s="2" t="s">
        <v>83</v>
      </c>
      <c r="C9" s="2" t="s">
        <v>33</v>
      </c>
      <c r="D9" s="1">
        <f>AVERAGEIF(Fund,"&gt;0")</f>
        <v>7.8778313432835825E-2</v>
      </c>
      <c r="E9" s="1" cm="1">
        <f t="array" ref="E9">AVGPOS(Fund)</f>
        <v>7.8778313432835825E-2</v>
      </c>
      <c r="F9" s="1" cm="1">
        <f t="array" ref="F9">_xlfn._xlws.PY(8,0)</f>
        <v>7.8778313432835811E-2</v>
      </c>
      <c r="G9" s="1">
        <v>7.8778000000000001E-2</v>
      </c>
      <c r="H9" s="1">
        <v>7.8799999999999995E-2</v>
      </c>
      <c r="I9" s="3">
        <v>7.8799999999999995E-2</v>
      </c>
      <c r="J9" s="15">
        <f>MAX(Table1[[#This Row],[Excel]:[Expected]])-MIN(Table1[[#This Row],[Excel]:[Expected]])</f>
        <v>2.1999999999994246E-5</v>
      </c>
    </row>
    <row r="10" spans="1:13" x14ac:dyDescent="0.25">
      <c r="A10" s="23">
        <v>9</v>
      </c>
      <c r="B10" s="2" t="s">
        <v>83</v>
      </c>
      <c r="C10" s="2" t="s">
        <v>32</v>
      </c>
      <c r="D10" s="1">
        <f>AVERAGEIF(Fund,"&lt;0")</f>
        <v>-7.4032923076923052E-2</v>
      </c>
      <c r="E10" s="1" cm="1">
        <f t="array" ref="E10">AVGNEG(Fund)</f>
        <v>-7.4032923076923052E-2</v>
      </c>
      <c r="F10" s="1" cm="1">
        <f t="array" ref="F10">_xlfn._xlws.PY(9,0)</f>
        <v>-7.4032923076923066E-2</v>
      </c>
      <c r="G10" s="1">
        <v>-7.4033000000000002E-2</v>
      </c>
      <c r="H10" s="1">
        <v>-7.3999999999999996E-2</v>
      </c>
      <c r="I10" s="3">
        <v>-7.3999999999999996E-2</v>
      </c>
      <c r="J10" s="15">
        <f>MAX(Table1[[#This Row],[Excel]:[Expected]])-MIN(Table1[[#This Row],[Excel]:[Expected]])</f>
        <v>3.3000000000005247E-5</v>
      </c>
    </row>
    <row r="11" spans="1:13" x14ac:dyDescent="0.25">
      <c r="A11" s="23">
        <v>10</v>
      </c>
      <c r="B11" s="2" t="s">
        <v>83</v>
      </c>
      <c r="C11" s="2" t="s">
        <v>35</v>
      </c>
      <c r="D11" s="1">
        <f>MAX(Fund)</f>
        <v>0.31514199999999998</v>
      </c>
      <c r="E11" s="1" cm="1">
        <f t="array" ref="E11">BESTPERIOD(Fund)</f>
        <v>0.31514199999999998</v>
      </c>
      <c r="F11" s="1" cm="1">
        <f t="array" ref="F11">_xlfn._xlws.PY(10,0)</f>
        <v>0.31514199999999998</v>
      </c>
      <c r="G11" s="1">
        <v>0.31514199999999998</v>
      </c>
      <c r="H11" s="1">
        <v>0.31509999999999999</v>
      </c>
      <c r="I11" s="3">
        <v>0.31509999999999999</v>
      </c>
      <c r="J11" s="15">
        <f>MAX(Table1[[#This Row],[Excel]:[Expected]])-MIN(Table1[[#This Row],[Excel]:[Expected]])</f>
        <v>4.1999999999986493E-5</v>
      </c>
    </row>
    <row r="12" spans="1:13" x14ac:dyDescent="0.25">
      <c r="A12" s="23">
        <v>11</v>
      </c>
      <c r="B12" s="2" t="s">
        <v>83</v>
      </c>
      <c r="C12" s="2" t="s">
        <v>69</v>
      </c>
      <c r="D12" s="1">
        <f>MIN(Fund)</f>
        <v>-0.287325</v>
      </c>
      <c r="E12" s="1" cm="1">
        <f t="array" ref="E12">WORSTPERIOD(Fund)</f>
        <v>-0.287325</v>
      </c>
      <c r="F12" s="1" cm="1">
        <f t="array" ref="F12">_xlfn._xlws.PY(11,0)</f>
        <v>-0.287325</v>
      </c>
      <c r="G12" s="1">
        <v>-0.287325</v>
      </c>
      <c r="H12" s="1">
        <v>-0.2873</v>
      </c>
      <c r="I12" s="3">
        <v>-0.2873</v>
      </c>
      <c r="J12" s="15">
        <f>MAX(Table1[[#This Row],[Excel]:[Expected]])-MIN(Table1[[#This Row],[Excel]:[Expected]])</f>
        <v>2.4999999999997247E-5</v>
      </c>
    </row>
    <row r="13" spans="1:13" x14ac:dyDescent="0.25">
      <c r="A13" s="23">
        <v>12</v>
      </c>
      <c r="B13" s="2" t="s">
        <v>83</v>
      </c>
      <c r="C13" s="2" t="s">
        <v>51</v>
      </c>
      <c r="D13" s="17" cm="1">
        <f t="array" ref="D13">MAX(_xlfn.SCAN(1,Fund,_xlfn.LAMBDA(_xlpm.x,_xlpm.y,IF(_xlpm.y&gt;0,_xlpm.x*(1+_xlpm.y),1))))-1</f>
        <v>1.0790137753582472</v>
      </c>
      <c r="E13" s="17" cm="1">
        <f t="array" ref="E13">MAXCONSECGAINRET(Fund)</f>
        <v>1.0790137753582472</v>
      </c>
      <c r="F13" s="17" cm="1">
        <f t="array" ref="F13">_xlfn._xlws.PY(12,0)</f>
        <v>1.0790137753582472</v>
      </c>
      <c r="G13" s="17">
        <v>1.0790139999999999</v>
      </c>
      <c r="H13" s="17"/>
      <c r="I13" s="18">
        <v>1.0790139999999999</v>
      </c>
      <c r="J13" s="15">
        <f>MAX(Table1[[#This Row],[Excel]:[Expected]])-MIN(Table1[[#This Row],[Excel]:[Expected]])</f>
        <v>2.2464175275516141E-7</v>
      </c>
    </row>
    <row r="14" spans="1:13" x14ac:dyDescent="0.25">
      <c r="A14" s="23">
        <v>13</v>
      </c>
      <c r="B14" s="2" t="s">
        <v>83</v>
      </c>
      <c r="C14" s="2" t="s">
        <v>50</v>
      </c>
      <c r="D14" s="17" cm="1">
        <f t="array" ref="D14">MIN(_xlfn.SCAN(1,Fund,_xlfn.LAMBDA(_xlpm.x,_xlpm.y,IF(_xlpm.y&lt;0,_xlpm.x*(1+_xlpm.y),1))))-1</f>
        <v>-0.66780593781962927</v>
      </c>
      <c r="E14" s="17" cm="1">
        <f t="array" ref="E14">MAXCONSECLOSSRET(Fund)</f>
        <v>-0.66780593781962927</v>
      </c>
      <c r="F14" s="17" cm="1">
        <f t="array" ref="F14">_xlfn._xlws.PY(13,0)</f>
        <v>-0.66780593781962927</v>
      </c>
      <c r="G14" s="17">
        <v>-0.66780600000000001</v>
      </c>
      <c r="H14" s="17"/>
      <c r="I14" s="1">
        <v>-0.66779999999999995</v>
      </c>
      <c r="J14" s="19">
        <f>MAX(Table1[[#This Row],[Excel]:[Expected]])-MIN(Table1[[#This Row],[Excel]:[Expected]])</f>
        <v>6.0000000000615117E-6</v>
      </c>
    </row>
    <row r="15" spans="1:13" x14ac:dyDescent="0.25">
      <c r="A15" s="23">
        <v>14</v>
      </c>
      <c r="B15" s="2" t="s">
        <v>83</v>
      </c>
      <c r="C15" s="2" t="s">
        <v>54</v>
      </c>
      <c r="D15" s="2" cm="1">
        <f t="array" ref="D15">MAX(_xlfn.SCAN(0,SIGN(Fund)&gt;0,_xlfn.LAMBDA(_xlpm.x,_xlpm.y,IF(_xlpm.y,_xlpm.x+_xlpm.y,0))))</f>
        <v>14</v>
      </c>
      <c r="E15" s="2" cm="1">
        <f t="array" ref="E15">MAXCONSECGAINPER(Fund)</f>
        <v>14</v>
      </c>
      <c r="F15" s="2" cm="1">
        <f t="array" ref="F15">_xlfn._xlws.PY(14,0)</f>
        <v>14</v>
      </c>
      <c r="G15" s="2">
        <v>14</v>
      </c>
      <c r="I15" s="2">
        <v>14</v>
      </c>
      <c r="J15" s="15">
        <f>MAX(Table1[[#This Row],[Excel]:[Expected]])-MIN(Table1[[#This Row],[Excel]:[Expected]])</f>
        <v>0</v>
      </c>
    </row>
    <row r="16" spans="1:13" x14ac:dyDescent="0.25">
      <c r="A16" s="23">
        <v>15</v>
      </c>
      <c r="B16" s="2" t="s">
        <v>83</v>
      </c>
      <c r="C16" s="2" t="s">
        <v>53</v>
      </c>
      <c r="D16" s="2" cm="1">
        <f t="array" ref="D16">MAX(_xlfn.SCAN(0,SIGN(Fund)&lt;0,_xlfn.LAMBDA(_xlpm.x,_xlpm.y,IF(_xlpm.y,_xlpm.x+_xlpm.y,0))))</f>
        <v>8</v>
      </c>
      <c r="E16" s="2" cm="1">
        <f t="array" ref="E16">MAXCONSECLOSSPER(Fund)</f>
        <v>8</v>
      </c>
      <c r="F16" s="2" cm="1">
        <f t="array" ref="F16">_xlfn._xlws.PY(15,0)</f>
        <v>8</v>
      </c>
      <c r="G16" s="2">
        <v>8</v>
      </c>
      <c r="I16" s="2">
        <v>8</v>
      </c>
      <c r="J16" s="15">
        <f>MAX(Table1[[#This Row],[Excel]:[Expected]])-MIN(Table1[[#This Row],[Excel]:[Expected]])</f>
        <v>0</v>
      </c>
    </row>
    <row r="17" spans="1:11" x14ac:dyDescent="0.25">
      <c r="A17" s="23">
        <v>16</v>
      </c>
      <c r="B17" s="2" t="s">
        <v>83</v>
      </c>
      <c r="C17" s="2" t="s">
        <v>42</v>
      </c>
      <c r="D17" s="18">
        <f>D2-FVSCHEDULE(1,Benchmark)+1</f>
        <v>-1.127277665623089</v>
      </c>
      <c r="E17" s="18"/>
      <c r="F17" s="18" cm="1">
        <f t="array" ref="F17">_xlfn._xlws.PY(16,0)</f>
        <v>-1.127277665623089</v>
      </c>
      <c r="G17" s="18">
        <v>-1.127278</v>
      </c>
      <c r="H17" s="18">
        <v>-1.127278</v>
      </c>
      <c r="I17" s="18">
        <v>-1.127278</v>
      </c>
      <c r="J17" s="15">
        <f>MAX(Table1[[#This Row],[Excel]:[Expected]])-MIN(Table1[[#This Row],[Excel]:[Expected]])</f>
        <v>3.3437691104865053E-7</v>
      </c>
    </row>
    <row r="18" spans="1:11" x14ac:dyDescent="0.25">
      <c r="A18" s="23">
        <v>17</v>
      </c>
      <c r="B18" s="2" t="s">
        <v>83</v>
      </c>
      <c r="C18" s="2" t="s">
        <v>113</v>
      </c>
      <c r="D18" s="18" cm="1">
        <f t="array" ref="D18">D3-GEOMEAN(1+Benchmark)^12+1</f>
        <v>-4.4653234573718725E-2</v>
      </c>
      <c r="E18" s="18"/>
      <c r="F18" s="18" cm="1">
        <f t="array" ref="F18">_xlfn._xlws.PY(17,0)</f>
        <v>-4.4653234573721765E-2</v>
      </c>
      <c r="G18" s="18">
        <v>-4.4652999999999998E-2</v>
      </c>
      <c r="H18" s="18">
        <v>-4.4652999999999998E-2</v>
      </c>
      <c r="I18" s="18">
        <v>-4.4652999999999998E-2</v>
      </c>
      <c r="J18" s="15">
        <f>MAX(Table1[[#This Row],[Excel]:[Expected]])-MIN(Table1[[#This Row],[Excel]:[Expected]])</f>
        <v>2.3457372176627356E-7</v>
      </c>
    </row>
    <row r="19" spans="1:11" x14ac:dyDescent="0.25">
      <c r="A19" s="23">
        <v>18</v>
      </c>
      <c r="B19" s="2" t="s">
        <v>83</v>
      </c>
      <c r="C19" s="2" t="s">
        <v>44</v>
      </c>
      <c r="D19" s="17" cm="1">
        <f t="array" ref="D19">GEOMEAN((1+Fund)/(1+Benchmark))^12-1</f>
        <v>-3.9438755779739987E-2</v>
      </c>
      <c r="E19" s="17"/>
      <c r="F19" s="17" cm="1">
        <f t="array" ref="F19">_xlfn._xlws.PY(18,0)</f>
        <v>-3.9438755779740188E-2</v>
      </c>
      <c r="G19" s="17">
        <v>-3.9439000000000002E-2</v>
      </c>
      <c r="H19" s="17">
        <v>-3.9439000000000002E-2</v>
      </c>
      <c r="I19" s="18">
        <v>-3.9439000000000002E-2</v>
      </c>
      <c r="J19" s="15">
        <f>MAX(Table1[[#This Row],[Excel]:[Expected]])-MIN(Table1[[#This Row],[Excel]:[Expected]])</f>
        <v>2.4422026001502672E-7</v>
      </c>
    </row>
    <row r="20" spans="1:11" x14ac:dyDescent="0.25">
      <c r="A20" s="23">
        <v>19</v>
      </c>
      <c r="B20" s="2" t="s">
        <v>83</v>
      </c>
      <c r="C20" s="2" t="s">
        <v>86</v>
      </c>
      <c r="D20" s="2" cm="1">
        <f t="array" ref="D20">SUM(N(Fund &gt; Benchmark))</f>
        <v>58</v>
      </c>
      <c r="F20" s="2" cm="1">
        <f t="array" ref="F20">_xlfn._xlws.PY(19,0)</f>
        <v>58</v>
      </c>
      <c r="G20" s="2">
        <v>58</v>
      </c>
      <c r="H20" s="2">
        <v>58</v>
      </c>
      <c r="I20" s="2">
        <v>58</v>
      </c>
      <c r="J20" s="15">
        <f>MAX(Table1[[#This Row],[Excel]:[Expected]])-MIN(Table1[[#This Row],[Excel]:[Expected]])</f>
        <v>0</v>
      </c>
    </row>
    <row r="21" spans="1:11" x14ac:dyDescent="0.25">
      <c r="A21" s="23">
        <v>20</v>
      </c>
      <c r="B21" s="2" t="s">
        <v>83</v>
      </c>
      <c r="C21" s="2" t="s">
        <v>85</v>
      </c>
      <c r="D21" s="17">
        <f>D20/D5</f>
        <v>0.48739495798319327</v>
      </c>
      <c r="E21" s="17"/>
      <c r="F21" s="17" cm="1">
        <f t="array" ref="F21">_xlfn._xlws.PY(20,0)</f>
        <v>0.48739495798319327</v>
      </c>
      <c r="G21" s="17">
        <v>0.48739500000000002</v>
      </c>
      <c r="H21" s="17">
        <v>0.48739500000000002</v>
      </c>
      <c r="I21" s="18">
        <v>0.48739500000000002</v>
      </c>
      <c r="J21" s="15">
        <f>MAX(Table1[[#This Row],[Excel]:[Expected]])-MIN(Table1[[#This Row],[Excel]:[Expected]])</f>
        <v>4.2016806756084435E-8</v>
      </c>
    </row>
    <row r="22" spans="1:11" x14ac:dyDescent="0.25">
      <c r="A22" s="23">
        <v>21</v>
      </c>
      <c r="B22" s="2" t="s">
        <v>83</v>
      </c>
      <c r="C22" s="2" t="s">
        <v>57</v>
      </c>
      <c r="D22" s="17">
        <f>D6/D5</f>
        <v>0.56302521008403361</v>
      </c>
      <c r="E22" s="17"/>
      <c r="F22" s="17" cm="1">
        <f t="array" ref="F22">_xlfn._xlws.PY(21,0)</f>
        <v>0.56302521008403361</v>
      </c>
      <c r="G22" s="17">
        <v>0.563025</v>
      </c>
      <c r="H22" s="17">
        <v>0.563025</v>
      </c>
      <c r="I22" s="18">
        <v>0.563025</v>
      </c>
      <c r="J22" s="15">
        <f>MAX(Table1[[#This Row],[Excel]:[Expected]])-MIN(Table1[[#This Row],[Excel]:[Expected]])</f>
        <v>2.1008403361388872E-7</v>
      </c>
      <c r="K22" s="2" t="s">
        <v>87</v>
      </c>
    </row>
    <row r="23" spans="1:11" x14ac:dyDescent="0.25">
      <c r="A23" s="23">
        <v>22</v>
      </c>
      <c r="B23" s="2" t="s">
        <v>77</v>
      </c>
      <c r="C23" s="2" t="s">
        <v>73</v>
      </c>
      <c r="D23" s="17">
        <f>_xlfn.STDEV.S(Fund)*SQRT(12)</f>
        <v>0.34856890436749127</v>
      </c>
      <c r="E23" s="17"/>
      <c r="F23" s="17" cm="1">
        <f t="array" ref="F23">_xlfn._xlws.PY(22,0)</f>
        <v>0.34856890436749127</v>
      </c>
      <c r="G23" s="17">
        <v>0.34856900000000002</v>
      </c>
      <c r="H23" s="17">
        <v>0.34856900000000002</v>
      </c>
      <c r="I23" s="18">
        <v>0.34856900000000002</v>
      </c>
      <c r="J23" s="15">
        <f>MAX(Table1[[#This Row],[Excel]:[Expected]])-MIN(Table1[[#This Row],[Excel]:[Expected]])</f>
        <v>9.5632508745335798E-8</v>
      </c>
    </row>
    <row r="24" spans="1:11" x14ac:dyDescent="0.25">
      <c r="A24" s="23">
        <v>23</v>
      </c>
      <c r="B24" s="2" t="s">
        <v>77</v>
      </c>
      <c r="C24" s="2" t="s">
        <v>74</v>
      </c>
      <c r="D24" s="17">
        <f>_xlfn.VAR.S(Fund)*12</f>
        <v>0.12150028109195329</v>
      </c>
      <c r="E24" s="17"/>
      <c r="F24" s="17" cm="1">
        <f t="array" ref="F24">_xlfn._xlws.PY(23,0)</f>
        <v>0.12150028109195328</v>
      </c>
      <c r="G24" s="17">
        <v>0.1215</v>
      </c>
      <c r="H24" s="17">
        <v>0.1215</v>
      </c>
      <c r="I24" s="17">
        <v>0.12150028</v>
      </c>
      <c r="J24" s="19">
        <f>MAX(Table1[[#This Row],[Excel]:[Expected]])-MIN(Table1[[#This Row],[Excel]:[Expected]])</f>
        <v>2.8109195329695247E-7</v>
      </c>
    </row>
    <row r="25" spans="1:11" x14ac:dyDescent="0.25">
      <c r="A25" s="23">
        <v>24</v>
      </c>
      <c r="B25" s="2" t="s">
        <v>77</v>
      </c>
      <c r="C25" s="2" t="s">
        <v>63</v>
      </c>
      <c r="D25" s="15">
        <f>SKEW(Fund)</f>
        <v>0.15403194982650587</v>
      </c>
      <c r="E25" s="15"/>
      <c r="F25" s="15" cm="1">
        <f t="array" ref="F25">_xlfn._xlws.PY(24,0)</f>
        <v>0.15403194982650592</v>
      </c>
      <c r="G25" s="15">
        <v>0.154</v>
      </c>
      <c r="H25" s="15">
        <v>0.154</v>
      </c>
      <c r="I25" s="15">
        <v>0.154</v>
      </c>
      <c r="J25" s="15">
        <f>MAX(Table1[[#This Row],[Excel]:[Expected]])-MIN(Table1[[#This Row],[Excel]:[Expected]])</f>
        <v>3.1949826505922596E-5</v>
      </c>
    </row>
    <row r="26" spans="1:11" x14ac:dyDescent="0.25">
      <c r="A26" s="23">
        <v>25</v>
      </c>
      <c r="B26" s="2" t="s">
        <v>77</v>
      </c>
      <c r="C26" s="2" t="s">
        <v>72</v>
      </c>
      <c r="D26" s="15">
        <f>KURT(Fund)</f>
        <v>0.57831497332206672</v>
      </c>
      <c r="E26" s="15"/>
      <c r="F26" s="15" cm="1">
        <f t="array" ref="F26">_xlfn._xlws.PY(25,0)</f>
        <v>0.57831497332206627</v>
      </c>
      <c r="G26" s="15">
        <v>0.57830000000000004</v>
      </c>
      <c r="H26" s="15">
        <v>0.57830000000000004</v>
      </c>
      <c r="I26" s="2">
        <v>0.57830000000000004</v>
      </c>
      <c r="J26" s="15">
        <f>MAX(Table1[[#This Row],[Excel]:[Expected]])-MIN(Table1[[#This Row],[Excel]:[Expected]])</f>
        <v>1.4973322066680339E-5</v>
      </c>
    </row>
    <row r="27" spans="1:11" x14ac:dyDescent="0.25">
      <c r="A27" s="23">
        <v>26</v>
      </c>
      <c r="B27" s="2" t="s">
        <v>77</v>
      </c>
      <c r="C27" s="2" t="s">
        <v>48</v>
      </c>
      <c r="D27" s="15">
        <f>COUNT(Fund)/6*(SKEW(Fund)^2+KURT(Fund)^2/4)</f>
        <v>2.128868224246371</v>
      </c>
      <c r="E27" s="15"/>
      <c r="F27" s="15" cm="1">
        <f t="array" ref="F27">_xlfn._xlws.PY(26,0)</f>
        <v>2.1288682242463688</v>
      </c>
      <c r="G27" s="15">
        <v>2.1288999999999998</v>
      </c>
      <c r="H27" s="15"/>
      <c r="I27" s="2">
        <v>2.1288999999999998</v>
      </c>
      <c r="J27" s="15">
        <f>MAX(Table1[[#This Row],[Excel]:[Expected]])-MIN(Table1[[#This Row],[Excel]:[Expected]])</f>
        <v>3.1775753631002601E-5</v>
      </c>
    </row>
    <row r="28" spans="1:11" x14ac:dyDescent="0.25">
      <c r="A28" s="23">
        <v>27</v>
      </c>
      <c r="B28" s="2" t="s">
        <v>77</v>
      </c>
      <c r="C28" s="2" t="s">
        <v>52</v>
      </c>
      <c r="D28" s="17">
        <f>MIN(Underwater(Fund))</f>
        <v>-0.77021503984271789</v>
      </c>
      <c r="E28" s="17"/>
      <c r="F28" s="17" cm="1">
        <f t="array" ref="F28">_xlfn._xlws.PY(27,0)</f>
        <v>-0.77021503984271789</v>
      </c>
      <c r="G28" s="17">
        <v>-0.77021499999999998</v>
      </c>
      <c r="H28" s="17"/>
      <c r="I28" s="18">
        <v>-0.77021499999999998</v>
      </c>
      <c r="J28" s="15">
        <f>MAX(Table1[[#This Row],[Excel]:[Expected]])-MIN(Table1[[#This Row],[Excel]:[Expected]])</f>
        <v>3.9842717902693892E-8</v>
      </c>
      <c r="K28" s="2" t="s">
        <v>91</v>
      </c>
    </row>
    <row r="29" spans="1:11" x14ac:dyDescent="0.25">
      <c r="A29" s="23">
        <v>28</v>
      </c>
      <c r="B29" s="2" t="s">
        <v>77</v>
      </c>
      <c r="C29" s="2" t="s">
        <v>30</v>
      </c>
      <c r="D29" s="17" cm="1">
        <f t="array" ref="D29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29" s="17"/>
      <c r="F29" s="17" cm="1">
        <f t="array" ref="F29">_xlfn._xlws.PY(28,0)</f>
        <v>-0.16019142831056082</v>
      </c>
      <c r="G29" s="17">
        <v>-0.160191</v>
      </c>
      <c r="H29" s="17"/>
      <c r="I29" s="18">
        <v>-0.160191</v>
      </c>
      <c r="J29" s="15">
        <f>MAX(Table1[[#This Row],[Excel]:[Expected]])-MIN(Table1[[#This Row],[Excel]:[Expected]])</f>
        <v>4.2831056087933028E-7</v>
      </c>
      <c r="K29" s="2" t="s">
        <v>91</v>
      </c>
    </row>
    <row r="30" spans="1:11" x14ac:dyDescent="0.25">
      <c r="A30" s="23">
        <v>29</v>
      </c>
      <c r="B30" s="2" t="s">
        <v>77</v>
      </c>
      <c r="C30" s="2" t="s">
        <v>82</v>
      </c>
      <c r="D30" s="17" cm="1">
        <f t="array" ref="D30">_xlfn.LET(
   _xlpm.uw, Underwater(Fund),
   INDEX(_xlpm.uw, COUNT(_xlpm.uw))
)</f>
        <v>-0.64971249303468903</v>
      </c>
      <c r="E30" s="17"/>
      <c r="F30" s="17" cm="1">
        <f t="array" ref="F30">_xlfn._xlws.PY(29,0)</f>
        <v>-0.64971249303468903</v>
      </c>
      <c r="G30" s="17">
        <v>-0.64971199999999996</v>
      </c>
      <c r="H30" s="17"/>
      <c r="I30" s="18">
        <v>-0.64971199999999996</v>
      </c>
      <c r="J30" s="15">
        <f>MAX(Table1[[#This Row],[Excel]:[Expected]])-MIN(Table1[[#This Row],[Excel]:[Expected]])</f>
        <v>4.9303468907524461E-7</v>
      </c>
      <c r="K30" s="2" t="s">
        <v>91</v>
      </c>
    </row>
    <row r="31" spans="1:11" x14ac:dyDescent="0.25">
      <c r="A31" s="23">
        <v>30</v>
      </c>
      <c r="B31" s="2" t="s">
        <v>77</v>
      </c>
      <c r="C31" s="2" t="s">
        <v>78</v>
      </c>
      <c r="D31" s="17" cm="1">
        <f t="array" ref="D31">_xlfn.LET(
   _xlpm.x, Fund - AVERAGE(Fund),
   SQRT(SUM(IF(_xlpm.x&lt;0, _xlpm.x^2)) / (SUM(N(_xlpm.x&lt;0))-1) * 12)
)</f>
        <v>0.33861758060593661</v>
      </c>
      <c r="E31" s="17"/>
      <c r="F31" s="17" cm="1">
        <f t="array" ref="F31">_xlfn._xlws.PY(30,0)</f>
        <v>0.33861758060593661</v>
      </c>
      <c r="G31" s="17">
        <v>0.33861799999999997</v>
      </c>
      <c r="H31" s="17">
        <v>0.33861799999999997</v>
      </c>
      <c r="I31" s="18">
        <v>0.33861799999999997</v>
      </c>
      <c r="J31" s="15">
        <f>MAX(Table1[[#This Row],[Excel]:[Expected]])-MIN(Table1[[#This Row],[Excel]:[Expected]])</f>
        <v>4.1939406336677365E-7</v>
      </c>
    </row>
    <row r="32" spans="1:11" x14ac:dyDescent="0.25">
      <c r="A32" s="23">
        <v>31</v>
      </c>
      <c r="B32" s="2" t="s">
        <v>77</v>
      </c>
      <c r="C32" s="2" t="s">
        <v>80</v>
      </c>
      <c r="D32" s="17" cm="1">
        <f t="array" ref="D32">_xlfn.LET(
   _xlpm.mar, 0,
   _xlpm.x, Fund - _xlpm.mar,
   SQRT(SUM(IF(_xlpm.x&gt;0, _xlpm.x^2)) / (COUNT(_xlpm.x)) * 12)
)</f>
        <v>0.27296578943372457</v>
      </c>
      <c r="E32" s="17"/>
      <c r="F32" s="17" cm="1">
        <f t="array" ref="F32">_xlfn._xlws.PY(31,0)</f>
        <v>0.27296578943372457</v>
      </c>
      <c r="G32" s="17">
        <v>0.27296599999999999</v>
      </c>
      <c r="H32" s="17"/>
      <c r="I32" s="18">
        <v>0.27296599999999999</v>
      </c>
      <c r="J32" s="15">
        <f>MAX(Table1[[#This Row],[Excel]:[Expected]])-MIN(Table1[[#This Row],[Excel]:[Expected]])</f>
        <v>2.1056627541593542E-7</v>
      </c>
      <c r="K32" s="2" t="s">
        <v>79</v>
      </c>
    </row>
    <row r="33" spans="1:11" x14ac:dyDescent="0.25">
      <c r="A33" s="23">
        <v>32</v>
      </c>
      <c r="B33" s="2" t="s">
        <v>77</v>
      </c>
      <c r="C33" s="2" t="s">
        <v>93</v>
      </c>
      <c r="D33" s="17" cm="1">
        <f t="array" ref="D33">_xlfn.LET(
   _xlpm.x, Fund - Rfr,
   SQRT(SUM(IF(_xlpm.x&lt;0, _xlpm.x^2)) / COUNT(_xlpm.x) * 12)
)</f>
        <v>0.22124339318231298</v>
      </c>
      <c r="E33" s="17"/>
      <c r="F33" s="17" cm="1">
        <f t="array" ref="F33">_xlfn._xlws.PY(32,0)</f>
        <v>0.22124339318231298</v>
      </c>
      <c r="G33" s="17">
        <v>0.221243</v>
      </c>
      <c r="H33" s="17">
        <v>0.221243</v>
      </c>
      <c r="I33" s="18">
        <v>0.221243</v>
      </c>
      <c r="J33" s="15">
        <f>MAX(Table1[[#This Row],[Excel]:[Expected]])-MIN(Table1[[#This Row],[Excel]:[Expected]])</f>
        <v>3.931823129854628E-7</v>
      </c>
      <c r="K33" s="2" t="s">
        <v>94</v>
      </c>
    </row>
    <row r="34" spans="1:11" x14ac:dyDescent="0.25">
      <c r="A34" s="23">
        <v>33</v>
      </c>
      <c r="B34" s="2" t="s">
        <v>77</v>
      </c>
      <c r="C34" s="2" t="s">
        <v>38</v>
      </c>
      <c r="D34" s="15" cm="1">
        <f t="array" ref="D34">_xlfn.LET(
   _xlpm.sd, _xlfn.STDEV.S(Fund),
   _xlpm.z, Fund / _xlpm.sd,
   SUM(IF(_xlpm.z&gt;=0,IF(_xlpm.z&lt;=1, 1))) / (SUM(IF(_xlpm.z&lt;0,IF(_xlpm.z&gt;=-1, 1))) + 1)
)</f>
        <v>1.1052631578947369</v>
      </c>
      <c r="E34" s="15"/>
      <c r="F34" s="15" cm="1">
        <f t="array" ref="F34">_xlfn._xlws.PY(33,0)</f>
        <v>1.1052631578947369</v>
      </c>
      <c r="G34" s="15">
        <v>1.1052999999999999</v>
      </c>
      <c r="H34" s="15"/>
      <c r="I34" s="2">
        <v>1.1052999999999999</v>
      </c>
      <c r="J34" s="15">
        <f>MAX(Table1[[#This Row],[Excel]:[Expected]])-MIN(Table1[[#This Row],[Excel]:[Expected]])</f>
        <v>3.6842105263001912E-5</v>
      </c>
    </row>
    <row r="35" spans="1:11" x14ac:dyDescent="0.25">
      <c r="A35" s="23">
        <v>34</v>
      </c>
      <c r="B35" s="2" t="s">
        <v>77</v>
      </c>
      <c r="C35" s="2" t="s">
        <v>45</v>
      </c>
      <c r="D35" s="15">
        <f>D9/-D10</f>
        <v>1.0640983789196345</v>
      </c>
      <c r="E35" s="15"/>
      <c r="F35" s="15" cm="1">
        <f t="array" ref="F35">_xlfn._xlws.PY(34,0)</f>
        <v>1.0640983789196341</v>
      </c>
      <c r="G35" s="15">
        <v>1.0641</v>
      </c>
      <c r="H35" s="15">
        <v>1.0641</v>
      </c>
      <c r="I35" s="2">
        <v>1.0641</v>
      </c>
      <c r="J35" s="15">
        <f>MAX(Table1[[#This Row],[Excel]:[Expected]])-MIN(Table1[[#This Row],[Excel]:[Expected]])</f>
        <v>1.6210803659433282E-6</v>
      </c>
    </row>
    <row r="36" spans="1:11" x14ac:dyDescent="0.25">
      <c r="A36" s="23">
        <v>35</v>
      </c>
      <c r="B36" s="2" t="s">
        <v>76</v>
      </c>
      <c r="C36" s="2" t="s">
        <v>36</v>
      </c>
      <c r="D36" s="15">
        <f>SLOPE(Fund,Benchmark)</f>
        <v>1.6525912709058328</v>
      </c>
      <c r="E36" s="15"/>
      <c r="F36" s="15" cm="1">
        <f t="array" ref="F36">_xlfn._xlws.PY(35,0)</f>
        <v>1.6525912709058326</v>
      </c>
      <c r="G36" s="15">
        <v>1.6526000000000001</v>
      </c>
      <c r="H36" s="15">
        <v>1.6526000000000001</v>
      </c>
      <c r="I36" s="2">
        <v>1.6526000000000001</v>
      </c>
      <c r="J36" s="15">
        <f>MAX(Table1[[#This Row],[Excel]:[Expected]])-MIN(Table1[[#This Row],[Excel]:[Expected]])</f>
        <v>8.7290941674922351E-6</v>
      </c>
    </row>
    <row r="37" spans="1:11" x14ac:dyDescent="0.25">
      <c r="A37" s="23">
        <v>36</v>
      </c>
      <c r="B37" s="2" t="s">
        <v>76</v>
      </c>
      <c r="C37" s="2" t="s">
        <v>37</v>
      </c>
      <c r="D37" s="15">
        <f>_xlfn.LET(
   _xlpm.regression, LINEST(Fund,Benchmark,,TRUE),
   INDEX(_xlpm.regression, 1, 1) / INDEX(_xlpm.regression, 2, 1)
)</f>
        <v>11.407781128358174</v>
      </c>
      <c r="E37" s="15"/>
      <c r="F37" s="15" cm="1">
        <f t="array" ref="F37">_xlfn._xlws.PY(36,0)</f>
        <v>11.407781128358184</v>
      </c>
      <c r="G37" s="15">
        <v>11.4078</v>
      </c>
      <c r="H37" s="15"/>
      <c r="I37" s="2">
        <v>11.4078</v>
      </c>
      <c r="J37" s="15">
        <f>MAX(Table1[[#This Row],[Excel]:[Expected]])-MIN(Table1[[#This Row],[Excel]:[Expected]])</f>
        <v>1.8871641826123664E-5</v>
      </c>
    </row>
    <row r="38" spans="1:11" x14ac:dyDescent="0.25">
      <c r="A38" s="23">
        <v>37</v>
      </c>
      <c r="B38" s="2" t="s">
        <v>76</v>
      </c>
      <c r="C38" s="2" t="s">
        <v>81</v>
      </c>
      <c r="D38" s="15" cm="1">
        <f t="array" ref="D38">SLOPE(Fund-Rfr,Benchmark-Rfr)</f>
        <v>1.654356531846279</v>
      </c>
      <c r="E38" s="15"/>
      <c r="F38" s="15" cm="1">
        <f t="array" ref="F38">_xlfn._xlws.PY(37,0)</f>
        <v>1.6543565318462765</v>
      </c>
      <c r="G38" s="15">
        <v>1.6544000000000001</v>
      </c>
      <c r="H38" s="15">
        <v>1.6544000000000001</v>
      </c>
      <c r="I38" s="2">
        <v>1.6544000000000001</v>
      </c>
      <c r="J38" s="15">
        <f>MAX(Table1[[#This Row],[Excel]:[Expected]])-MIN(Table1[[#This Row],[Excel]:[Expected]])</f>
        <v>4.3468153723580372E-5</v>
      </c>
    </row>
    <row r="39" spans="1:11" x14ac:dyDescent="0.25">
      <c r="A39" s="23">
        <v>38</v>
      </c>
      <c r="B39" s="2" t="s">
        <v>76</v>
      </c>
      <c r="C39" s="2" t="s">
        <v>71</v>
      </c>
      <c r="D39" s="17">
        <f>(1+INTERCEPT(Fund,Benchmark))^12-1</f>
        <v>-7.8514868837969765E-2</v>
      </c>
      <c r="E39" s="17"/>
      <c r="F39" s="17" cm="1">
        <f t="array" ref="F39">_xlfn._xlws.PY(38,0)</f>
        <v>-7.8514868837968432E-2</v>
      </c>
      <c r="G39" s="17">
        <v>-7.8515000000000001E-2</v>
      </c>
      <c r="H39" s="17">
        <v>-7.8515000000000001E-2</v>
      </c>
      <c r="I39" s="18">
        <v>-7.8515000000000001E-2</v>
      </c>
      <c r="J39" s="15">
        <f>MAX(Table1[[#This Row],[Excel]:[Expected]])-MIN(Table1[[#This Row],[Excel]:[Expected]])</f>
        <v>1.3116203156915418E-7</v>
      </c>
    </row>
    <row r="40" spans="1:11" x14ac:dyDescent="0.25">
      <c r="A40" s="23">
        <v>39</v>
      </c>
      <c r="B40" s="2" t="s">
        <v>76</v>
      </c>
      <c r="C40" s="2" t="s">
        <v>49</v>
      </c>
      <c r="D40" s="17">
        <f>_xlfn.LET(
   _xlpm.f, AVERAGE(Fund),
   _xlpm.m, AVERAGE(Benchmark),
   _xlpm.r, AVERAGE(Rfr),
   (1 + (_xlpm.f - _xlpm.r) - D36 * (_xlpm.m - _xlpm.r)) ^ 12 - 1
)</f>
        <v>-6.8351325331317936E-2</v>
      </c>
      <c r="E40" s="17"/>
      <c r="F40" s="17" cm="1">
        <f t="array" ref="F40">_xlfn._xlws.PY(39,0)</f>
        <v>-6.8351325331315826E-2</v>
      </c>
      <c r="G40" s="17">
        <v>-6.8350999999999995E-2</v>
      </c>
      <c r="H40" s="17"/>
      <c r="I40" s="18">
        <v>-6.8350999999999995E-2</v>
      </c>
      <c r="J40" s="15">
        <f>MAX(Table1[[#This Row],[Excel]:[Expected]])-MIN(Table1[[#This Row],[Excel]:[Expected]])</f>
        <v>3.2533131794076908E-7</v>
      </c>
    </row>
    <row r="41" spans="1:11" x14ac:dyDescent="0.25">
      <c r="A41" s="23">
        <v>40</v>
      </c>
      <c r="B41" s="2" t="s">
        <v>76</v>
      </c>
      <c r="C41" s="2" t="s">
        <v>41</v>
      </c>
      <c r="D41" s="15">
        <f>CORREL(Fund,Benchmark)</f>
        <v>0.72565782323392991</v>
      </c>
      <c r="E41" s="15"/>
      <c r="F41" s="15" cm="1">
        <f t="array" ref="F41">_xlfn._xlws.PY(40,0)</f>
        <v>0.7256578232339298</v>
      </c>
      <c r="G41" s="15">
        <v>0.72570000000000001</v>
      </c>
      <c r="H41" s="15">
        <v>0.72570000000000001</v>
      </c>
      <c r="I41" s="2">
        <v>0.72570000000000001</v>
      </c>
      <c r="J41" s="15">
        <f>MAX(Table1[[#This Row],[Excel]:[Expected]])-MIN(Table1[[#This Row],[Excel]:[Expected]])</f>
        <v>4.2176766070212146E-5</v>
      </c>
    </row>
    <row r="42" spans="1:11" x14ac:dyDescent="0.25">
      <c r="A42" s="23">
        <v>41</v>
      </c>
      <c r="B42" s="2" t="s">
        <v>76</v>
      </c>
      <c r="C42" s="2" t="s">
        <v>60</v>
      </c>
      <c r="D42" s="15">
        <f>D41^2</f>
        <v>0.52657927642060542</v>
      </c>
      <c r="E42" s="15"/>
      <c r="F42" s="15" cm="1">
        <f t="array" ref="F42">_xlfn._xlws.PY(41,0)</f>
        <v>0.52657927642060531</v>
      </c>
      <c r="G42" s="15">
        <v>0.52659999999999996</v>
      </c>
      <c r="H42" s="15">
        <v>0.52659999999999996</v>
      </c>
      <c r="I42" s="2">
        <v>0.52659999999999996</v>
      </c>
      <c r="J42" s="15">
        <f>MAX(Table1[[#This Row],[Excel]:[Expected]])-MIN(Table1[[#This Row],[Excel]:[Expected]])</f>
        <v>2.0723579394643643E-5</v>
      </c>
    </row>
    <row r="43" spans="1:11" x14ac:dyDescent="0.25">
      <c r="A43" s="23">
        <v>42</v>
      </c>
      <c r="B43" s="2" t="s">
        <v>76</v>
      </c>
      <c r="C43" s="2" t="s">
        <v>64</v>
      </c>
      <c r="D43" s="15">
        <f>INDEX(LINEST(Fund,Benchmark,,TRUE),3,2)</f>
        <v>6.952959881709328E-2</v>
      </c>
      <c r="E43" s="15"/>
      <c r="F43" s="15" cm="1">
        <f t="array" ref="F43">_xlfn._xlws.PY(42,0)</f>
        <v>6.9529598817093308E-2</v>
      </c>
      <c r="G43" s="15">
        <v>6.9500000000000006E-2</v>
      </c>
      <c r="H43" s="15"/>
      <c r="I43" s="2">
        <v>6.9500000000000006E-2</v>
      </c>
      <c r="J43" s="15">
        <f>MAX(Table1[[#This Row],[Excel]:[Expected]])-MIN(Table1[[#This Row],[Excel]:[Expected]])</f>
        <v>2.9598817093301477E-5</v>
      </c>
    </row>
    <row r="44" spans="1:11" x14ac:dyDescent="0.25">
      <c r="A44" s="23">
        <v>43</v>
      </c>
      <c r="B44" s="2" t="s">
        <v>76</v>
      </c>
      <c r="C44" s="2" t="s">
        <v>29</v>
      </c>
      <c r="D44" s="15">
        <f>_xlfn.LET(
  _xlpm.n, COUNT(Fund),
  CORREL(_xlfn.TAKE(Fund, _xlpm.n-1), _xlfn.TAKE(Fund, 1-_xlpm.n))
)</f>
        <v>6.7395069336288436E-3</v>
      </c>
      <c r="E44" s="15"/>
      <c r="F44" s="15" cm="1">
        <f t="array" ref="F44">_xlfn._xlws.PY(43,0)</f>
        <v>6.7395069336288653E-3</v>
      </c>
      <c r="G44" s="15">
        <v>6.7999999999999996E-3</v>
      </c>
      <c r="H44" s="15"/>
      <c r="I44" s="15">
        <v>6.7000000000000002E-3</v>
      </c>
      <c r="J44" s="15">
        <f>MAX(Table1[[#This Row],[Excel]:[Expected]])-MIN(Table1[[#This Row],[Excel]:[Expected]])</f>
        <v>9.9999999999999395E-5</v>
      </c>
    </row>
    <row r="45" spans="1:11" x14ac:dyDescent="0.25">
      <c r="A45" s="23">
        <v>44</v>
      </c>
      <c r="B45" s="2" t="s">
        <v>76</v>
      </c>
      <c r="C45" s="2" t="s">
        <v>107</v>
      </c>
      <c r="D45" s="20" cm="1">
        <f t="array" ref="D45">KendallTau({12;2;1;12;2},{1;4;7;1;0},)</f>
        <v>-0.47140452079103173</v>
      </c>
      <c r="E45" s="20"/>
      <c r="F45" s="20" cm="1">
        <f t="array" ref="F45">_xlfn._xlws.PY(44,0)</f>
        <v>-0.47140452079103162</v>
      </c>
      <c r="G45" s="20"/>
      <c r="H45" s="20"/>
      <c r="I45" s="2">
        <v>-0.47139999999999999</v>
      </c>
      <c r="J45" s="19">
        <f>MAX(Table1[[#This Row],[Excel]:[Expected]])-MIN(Table1[[#This Row],[Excel]:[Expected]])</f>
        <v>4.5207910317479616E-6</v>
      </c>
    </row>
    <row r="46" spans="1:11" x14ac:dyDescent="0.25">
      <c r="A46" s="23">
        <v>45</v>
      </c>
      <c r="B46" s="2" t="s">
        <v>76</v>
      </c>
      <c r="C46" s="2" t="s">
        <v>108</v>
      </c>
      <c r="D46" s="20" cm="1">
        <f t="array" ref="D46">KendallTau({12;2;1;12;2},{1;4;7;1;0},"C")</f>
        <v>-0.48</v>
      </c>
      <c r="E46" s="20"/>
      <c r="F46" s="20" cm="1">
        <f t="array" ref="F46">_xlfn._xlws.PY(45,0)</f>
        <v>-0.48</v>
      </c>
      <c r="G46" s="20"/>
      <c r="H46" s="20"/>
      <c r="I46" s="15">
        <v>-0.48</v>
      </c>
      <c r="J46" s="19">
        <f>MAX(Table1[[#This Row],[Excel]:[Expected]])-MIN(Table1[[#This Row],[Excel]:[Expected]])</f>
        <v>0</v>
      </c>
    </row>
    <row r="47" spans="1:11" x14ac:dyDescent="0.25">
      <c r="A47" s="23">
        <v>46</v>
      </c>
      <c r="B47" s="2" t="s">
        <v>88</v>
      </c>
      <c r="C47" s="2" t="s">
        <v>58</v>
      </c>
      <c r="D47" s="15" cm="1">
        <f t="array" ref="D47">(D3-GEOMEAN(1+Rfr)^12+1)/D23</f>
        <v>0.20296830430344315</v>
      </c>
      <c r="E47" s="15"/>
      <c r="F47" s="15" cm="1">
        <f t="array" ref="F47">_xlfn._xlws.PY(46,0)</f>
        <v>0.20296830430343993</v>
      </c>
      <c r="G47" s="15">
        <v>0.20300000000000001</v>
      </c>
      <c r="H47" s="15">
        <v>0.20300000000000001</v>
      </c>
      <c r="I47" s="15">
        <v>0.20300000000000001</v>
      </c>
      <c r="J47" s="15">
        <f>MAX(Table1[[#This Row],[Excel]:[Expected]])-MIN(Table1[[#This Row],[Excel]:[Expected]])</f>
        <v>3.169569656008564E-5</v>
      </c>
    </row>
    <row r="48" spans="1:11" x14ac:dyDescent="0.25">
      <c r="A48" s="23">
        <v>47</v>
      </c>
      <c r="B48" s="2" t="s">
        <v>88</v>
      </c>
      <c r="C48" s="2" t="s">
        <v>61</v>
      </c>
      <c r="D48" s="15">
        <f>D3/D23</f>
        <v>0.25120969360891698</v>
      </c>
      <c r="E48" s="15"/>
      <c r="F48" s="15" cm="1">
        <f t="array" ref="F48">_xlfn._xlws.PY(47,0)</f>
        <v>0.25120969360891349</v>
      </c>
      <c r="G48" s="15">
        <v>0.25119999999999998</v>
      </c>
      <c r="H48" s="15">
        <v>0.25119999999999998</v>
      </c>
      <c r="I48" s="2">
        <v>0.25119999999999998</v>
      </c>
      <c r="J48" s="15">
        <f>MAX(Table1[[#This Row],[Excel]:[Expected]])-MIN(Table1[[#This Row],[Excel]:[Expected]])</f>
        <v>9.6936089170052142E-6</v>
      </c>
    </row>
    <row r="49" spans="1:11" x14ac:dyDescent="0.25">
      <c r="A49" s="23">
        <v>48</v>
      </c>
      <c r="B49" s="2" t="s">
        <v>88</v>
      </c>
      <c r="C49" s="2" t="s">
        <v>66</v>
      </c>
      <c r="D49" s="17" cm="1">
        <f t="array" ref="D49">(D3-GEOMEAN(1+Rfr)^12+1)/D36</f>
        <v>4.2810609433752783E-2</v>
      </c>
      <c r="E49" s="17"/>
      <c r="F49" s="17" cm="1">
        <f t="array" ref="F49">_xlfn._xlws.PY(48,0)</f>
        <v>4.2810609433752103E-2</v>
      </c>
      <c r="G49" s="17">
        <v>4.2811000000000002E-2</v>
      </c>
      <c r="H49" s="17">
        <v>4.2811000000000002E-2</v>
      </c>
      <c r="I49" s="18">
        <v>4.2811000000000002E-2</v>
      </c>
      <c r="J49" s="15">
        <f>MAX(Table1[[#This Row],[Excel]:[Expected]])-MIN(Table1[[#This Row],[Excel]:[Expected]])</f>
        <v>3.9056624789868266E-7</v>
      </c>
    </row>
    <row r="50" spans="1:11" x14ac:dyDescent="0.25">
      <c r="A50" s="23">
        <v>49</v>
      </c>
      <c r="B50" s="2" t="s">
        <v>88</v>
      </c>
      <c r="C50" s="2" t="s">
        <v>9</v>
      </c>
      <c r="D50" s="15" cm="1">
        <f t="array" ref="D50">(D3-GEOMEAN(1+Rfr)^12+1)/D33</f>
        <v>0.3197765069263756</v>
      </c>
      <c r="E50" s="15"/>
      <c r="F50" s="15" cm="1">
        <f t="array" ref="F50">_xlfn._xlws.PY(49,0)</f>
        <v>0.3197765069263705</v>
      </c>
      <c r="G50" s="15">
        <v>0.31979999999999997</v>
      </c>
      <c r="H50" s="15">
        <v>0.31979999999999997</v>
      </c>
      <c r="I50" s="15">
        <v>0.31979999999999997</v>
      </c>
      <c r="J50" s="15">
        <f>MAX(Table1[[#This Row],[Excel]:[Expected]])-MIN(Table1[[#This Row],[Excel]:[Expected]])</f>
        <v>2.3493073629476946E-5</v>
      </c>
    </row>
    <row r="51" spans="1:11" x14ac:dyDescent="0.25">
      <c r="A51" s="23">
        <v>50</v>
      </c>
      <c r="B51" s="2" t="s">
        <v>88</v>
      </c>
      <c r="C51" s="2" t="s">
        <v>65</v>
      </c>
      <c r="D51" s="15">
        <f>D3/(-D29+0.1)</f>
        <v>0.33653640412488273</v>
      </c>
      <c r="E51" s="15"/>
      <c r="F51" s="15" cm="1">
        <f t="array" ref="F51">_xlfn._xlws.PY(50,0)</f>
        <v>0.33653640412487806</v>
      </c>
      <c r="G51" s="15">
        <v>0.33650000000000002</v>
      </c>
      <c r="H51" s="15"/>
      <c r="I51" s="2">
        <v>0.33650000000000002</v>
      </c>
      <c r="J51" s="15">
        <f>MAX(Table1[[#This Row],[Excel]:[Expected]])-MIN(Table1[[#This Row],[Excel]:[Expected]])</f>
        <v>3.6404124882705169E-5</v>
      </c>
      <c r="K51" s="2" t="s">
        <v>114</v>
      </c>
    </row>
    <row r="52" spans="1:11" x14ac:dyDescent="0.25">
      <c r="A52" s="23">
        <v>51</v>
      </c>
      <c r="B52" s="2" t="s">
        <v>88</v>
      </c>
      <c r="C52" s="2" t="s">
        <v>39</v>
      </c>
      <c r="D52" s="15">
        <f>D3/-D28</f>
        <v>0.11368758481479975</v>
      </c>
      <c r="E52" s="15"/>
      <c r="F52" s="15" cm="1">
        <f t="array" ref="F52">_xlfn._xlws.PY(51,0)</f>
        <v>0.11368758481479818</v>
      </c>
      <c r="G52" s="15">
        <v>0.1137</v>
      </c>
      <c r="H52" s="15"/>
      <c r="I52" s="2">
        <v>0.1137</v>
      </c>
      <c r="J52" s="15">
        <f>MAX(Table1[[#This Row],[Excel]:[Expected]])-MIN(Table1[[#This Row],[Excel]:[Expected]])</f>
        <v>1.241518520181395E-5</v>
      </c>
    </row>
    <row r="53" spans="1:11" x14ac:dyDescent="0.25">
      <c r="A53" s="23">
        <v>52</v>
      </c>
      <c r="B53" s="2" t="s">
        <v>88</v>
      </c>
      <c r="C53" s="2" t="s">
        <v>67</v>
      </c>
      <c r="D53" s="17" cm="1">
        <f t="array" ref="D53">_xlfn.LET(
   _xlpm.up, Benchmark &gt; 0,
   _xlpm.n, SUM(N(_xlpm.up)),
   (FVSCHEDULE(1, IF(_xlpm.up, Fund, 0)) ^ (12/_xlpm.n) - 1)
)</f>
        <v>0.731121355803942</v>
      </c>
      <c r="E53" s="17"/>
      <c r="F53" s="17" cm="1">
        <f t="array" ref="F53">_xlfn._xlws.PY(52,0)</f>
        <v>0.73112135580394189</v>
      </c>
      <c r="G53" s="17">
        <v>0.73112100000000002</v>
      </c>
      <c r="H53" s="17">
        <v>0.73112100000000002</v>
      </c>
      <c r="I53" s="18">
        <v>0.73112100000000002</v>
      </c>
      <c r="J53" s="15">
        <f>MAX(Table1[[#This Row],[Excel]:[Expected]])-MIN(Table1[[#This Row],[Excel]:[Expected]])</f>
        <v>3.5580394197598508E-7</v>
      </c>
    </row>
    <row r="54" spans="1:11" x14ac:dyDescent="0.25">
      <c r="A54" s="23">
        <v>53</v>
      </c>
      <c r="B54" s="2" t="s">
        <v>88</v>
      </c>
      <c r="C54" s="2" t="s">
        <v>101</v>
      </c>
      <c r="D54" s="17" cm="1">
        <f t="array" ref="D54">_xlfn.LET(
   _xlpm.down, Benchmark &lt; 0,
   _xlpm.n, SUM(N(_xlpm.down)),
   (FVSCHEDULE(1, IF(_xlpm.down, Fund, 0)) ^ (12/_xlpm.n) - 1)
)</f>
        <v>-0.6275860234174897</v>
      </c>
      <c r="E54" s="17"/>
      <c r="F54" s="17" cm="1">
        <f t="array" ref="F54">_xlfn._xlws.PY(53,0)</f>
        <v>-0.62758602341748959</v>
      </c>
      <c r="G54" s="17">
        <v>-0.62758599999999998</v>
      </c>
      <c r="H54" s="17">
        <v>-0.62758599999999998</v>
      </c>
      <c r="I54" s="18">
        <v>-0.62758599999999998</v>
      </c>
      <c r="J54" s="15">
        <f>MAX(Table1[[#This Row],[Excel]:[Expected]])-MIN(Table1[[#This Row],[Excel]:[Expected]])</f>
        <v>2.3417489725119367E-8</v>
      </c>
    </row>
    <row r="55" spans="1:11" x14ac:dyDescent="0.25">
      <c r="A55" s="23">
        <v>54</v>
      </c>
      <c r="B55" s="2" t="s">
        <v>88</v>
      </c>
      <c r="C55" s="2" t="s">
        <v>68</v>
      </c>
      <c r="D55" s="15" cm="1">
        <f t="array" ref="D55">_xlfn.LET(
   _xlpm.up, Benchmark &gt; 0,
   _xlpm.n, SUM(N(_xlpm.up)),
   (FVSCHEDULE(1, IF(_xlpm.up, Fund, 0)) ^ (12/_xlpm.n) - 1) /
   (FVSCHEDULE(1, IF(_xlpm.up, Benchmark, 0)) ^ (12/_xlpm.n) - 1) * 100
)</f>
        <v>150.16258007908607</v>
      </c>
      <c r="E55" s="15"/>
      <c r="F55" s="15" cm="1">
        <f t="array" ref="F55">_xlfn._xlws.PY(54,0)</f>
        <v>150.16258007908607</v>
      </c>
      <c r="G55" s="2">
        <v>150.1626</v>
      </c>
      <c r="H55" s="2">
        <v>150.1626</v>
      </c>
      <c r="I55" s="2">
        <v>150.1626</v>
      </c>
      <c r="J55" s="15">
        <f>MAX(Table1[[#This Row],[Excel]:[Expected]])-MIN(Table1[[#This Row],[Excel]:[Expected]])</f>
        <v>1.9920913928217487E-5</v>
      </c>
    </row>
    <row r="56" spans="1:11" x14ac:dyDescent="0.25">
      <c r="A56" s="23">
        <v>55</v>
      </c>
      <c r="B56" s="2" t="s">
        <v>88</v>
      </c>
      <c r="C56" s="2" t="s">
        <v>102</v>
      </c>
      <c r="D56" s="15" cm="1">
        <f t="array" ref="D56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56" s="15"/>
      <c r="F56" s="15" cm="1">
        <f t="array" ref="F56">_xlfn._xlws.PY(55,0)</f>
        <v>158.50060736469806</v>
      </c>
      <c r="G56" s="15">
        <v>158.50059999999999</v>
      </c>
      <c r="H56" s="15">
        <v>158.50059999999999</v>
      </c>
      <c r="I56" s="2">
        <v>158.50059999999999</v>
      </c>
      <c r="J56" s="15">
        <f>MAX(Table1[[#This Row],[Excel]:[Expected]])-MIN(Table1[[#This Row],[Excel]:[Expected]])</f>
        <v>7.3646980638386594E-6</v>
      </c>
    </row>
    <row r="57" spans="1:11" x14ac:dyDescent="0.25">
      <c r="A57" s="23">
        <v>56</v>
      </c>
      <c r="B57" s="2" t="s">
        <v>88</v>
      </c>
      <c r="C57" s="2" t="s">
        <v>59</v>
      </c>
      <c r="D57" s="17" cm="1">
        <f t="array" ref="D57">_xlfn.STDEV.S(Fund-Benchmark)*SQRT(12)</f>
        <v>0.2598029694965443</v>
      </c>
      <c r="E57" s="17"/>
      <c r="F57" s="17" cm="1">
        <f t="array" ref="F57">_xlfn._xlws.PY(56,0)</f>
        <v>0.2598029694965443</v>
      </c>
      <c r="G57" s="17">
        <v>0.25980300000000001</v>
      </c>
      <c r="H57" s="17">
        <v>0.25980300000000001</v>
      </c>
      <c r="I57" s="18">
        <v>0.25980300000000001</v>
      </c>
      <c r="J57" s="15">
        <f>MAX(Table1[[#This Row],[Excel]:[Expected]])-MIN(Table1[[#This Row],[Excel]:[Expected]])</f>
        <v>3.0503455705765958E-8</v>
      </c>
    </row>
    <row r="58" spans="1:11" x14ac:dyDescent="0.25">
      <c r="A58" s="23">
        <v>57</v>
      </c>
      <c r="B58" s="2" t="s">
        <v>88</v>
      </c>
      <c r="C58" s="2" t="s">
        <v>47</v>
      </c>
      <c r="D58" s="15" cm="1">
        <f t="array" ref="D58">(D3-GEOMEAN(1+Benchmark)^12+1)/D57</f>
        <v>-0.1718734572597434</v>
      </c>
      <c r="E58" s="15"/>
      <c r="F58" s="15" cm="1">
        <f t="array" ref="F58">_xlfn._xlws.PY(57,0)</f>
        <v>-0.17187345725975509</v>
      </c>
      <c r="G58" s="15">
        <v>-0.1719</v>
      </c>
      <c r="H58" s="15">
        <v>-0.1719</v>
      </c>
      <c r="I58" s="2">
        <v>-0.1719</v>
      </c>
      <c r="J58" s="15">
        <f>MAX(Table1[[#This Row],[Excel]:[Expected]])-MIN(Table1[[#This Row],[Excel]:[Expected]])</f>
        <v>2.6542740256596531E-5</v>
      </c>
    </row>
    <row r="59" spans="1:11" x14ac:dyDescent="0.25">
      <c r="A59" s="23">
        <v>58</v>
      </c>
      <c r="B59" s="2" t="s">
        <v>88</v>
      </c>
      <c r="C59" s="2" t="s">
        <v>34</v>
      </c>
      <c r="D59" s="15" cm="1">
        <f t="array" ref="D59">SUM(N(Fund&gt;Benchmark))/COUNT(Fund)</f>
        <v>0.48739495798319327</v>
      </c>
      <c r="E59" s="15"/>
      <c r="F59" s="15" cm="1">
        <f t="array" ref="F59">_xlfn._xlws.PY(58,0)</f>
        <v>0.48739495798319327</v>
      </c>
      <c r="G59" s="15">
        <v>0.4874</v>
      </c>
      <c r="H59" s="15">
        <v>0.4874</v>
      </c>
      <c r="I59" s="2">
        <v>0.4874</v>
      </c>
      <c r="J59" s="15">
        <f>MAX(Table1[[#This Row],[Excel]:[Expected]])-MIN(Table1[[#This Row],[Excel]:[Expected]])</f>
        <v>5.0420168067333293E-6</v>
      </c>
    </row>
    <row r="60" spans="1:11" x14ac:dyDescent="0.25">
      <c r="A60" s="23">
        <v>59</v>
      </c>
      <c r="B60" s="2" t="s">
        <v>88</v>
      </c>
      <c r="C60" s="2" t="s">
        <v>112</v>
      </c>
      <c r="D60" s="17" cm="1">
        <f t="array" ref="D60">SUM(IF(Fund&gt;Benchmark,IF(Benchmark&gt;0,1)))/SUM(N(Benchmark&gt;0))</f>
        <v>0.5662650602409639</v>
      </c>
      <c r="E60" s="17"/>
      <c r="F60" s="17" cm="1">
        <f t="array" ref="F60">_xlfn._xlws.PY(59,0)</f>
        <v>0.5662650602409639</v>
      </c>
      <c r="G60" s="17">
        <v>0.56626500000000002</v>
      </c>
      <c r="H60" s="17">
        <v>0.56626500000000002</v>
      </c>
      <c r="I60" s="18">
        <v>0.56626500000000002</v>
      </c>
      <c r="J60" s="15">
        <f>MAX(Table1[[#This Row],[Excel]:[Expected]])-MIN(Table1[[#This Row],[Excel]:[Expected]])</f>
        <v>6.0240963883906318E-8</v>
      </c>
      <c r="K60" s="2" t="s">
        <v>111</v>
      </c>
    </row>
    <row r="61" spans="1:11" x14ac:dyDescent="0.25">
      <c r="A61" s="23">
        <v>60</v>
      </c>
      <c r="B61" s="2" t="s">
        <v>88</v>
      </c>
      <c r="C61" s="2" t="s">
        <v>110</v>
      </c>
      <c r="D61" s="17" cm="1">
        <f t="array" ref="D61">SUM(IF(Fund&gt;Benchmark,IF(Benchmark&lt;0,1)))/SUM(N(Benchmark&lt;0))</f>
        <v>0.30555555555555558</v>
      </c>
      <c r="E61" s="17"/>
      <c r="F61" s="17" cm="1">
        <f t="array" ref="F61">_xlfn._xlws.PY(60,0)</f>
        <v>0.30555555555555558</v>
      </c>
      <c r="G61" s="17">
        <v>0.30555599999999999</v>
      </c>
      <c r="H61" s="17">
        <v>0.30555599999999999</v>
      </c>
      <c r="I61" s="18">
        <v>0.30555599999999999</v>
      </c>
      <c r="J61" s="15">
        <f>MAX(Table1[[#This Row],[Excel]:[Expected]])-MIN(Table1[[#This Row],[Excel]:[Expected]])</f>
        <v>4.444444444140494E-7</v>
      </c>
      <c r="K61" s="2" t="s">
        <v>109</v>
      </c>
    </row>
    <row r="62" spans="1:11" x14ac:dyDescent="0.25">
      <c r="A62" s="23">
        <v>61</v>
      </c>
      <c r="B62" s="2" t="s">
        <v>88</v>
      </c>
      <c r="C62" s="2" t="s">
        <v>62</v>
      </c>
      <c r="D62" s="15" cm="1">
        <f t="array" ref="D62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62" s="15"/>
      <c r="F62" s="15" cm="1">
        <f t="array" ref="F62">_xlfn._xlws.PY(61,0)</f>
        <v>0.6071428571428571</v>
      </c>
      <c r="G62" s="15">
        <v>0.60709999999999997</v>
      </c>
      <c r="H62" s="15"/>
      <c r="I62" s="15">
        <v>0.60709999999999997</v>
      </c>
      <c r="J62" s="15">
        <f>MAX(Table1[[#This Row],[Excel]:[Expected]])-MIN(Table1[[#This Row],[Excel]:[Expected]])</f>
        <v>4.2857142857122277E-5</v>
      </c>
    </row>
    <row r="63" spans="1:11" x14ac:dyDescent="0.25">
      <c r="A63" s="23">
        <v>62</v>
      </c>
      <c r="B63" s="2" t="s">
        <v>90</v>
      </c>
      <c r="C63" s="2" t="s">
        <v>115</v>
      </c>
      <c r="D63" s="17">
        <f>_xlfn.PERCENTILE.INC(Fund,0.05)</f>
        <v>-0.13292760000000001</v>
      </c>
      <c r="F63" s="18" cm="1">
        <f t="array" ref="F63">_xlfn._xlws.PY(62,0)</f>
        <v>-0.13292759999999998</v>
      </c>
      <c r="J63" s="19">
        <f>MAX(Table1[[#This Row],[Excel]:[Expected]])-MIN(Table1[[#This Row],[Excel]:[Expected]])</f>
        <v>0</v>
      </c>
    </row>
    <row r="64" spans="1:11" x14ac:dyDescent="0.25">
      <c r="A64" s="23">
        <v>63</v>
      </c>
      <c r="B64" s="2" t="s">
        <v>90</v>
      </c>
      <c r="C64" s="2" t="s">
        <v>116</v>
      </c>
      <c r="D64" s="17">
        <f>AVERAGEIF(Fund,"&lt;"&amp;_xlfn.PERCENTILE.INC(Fund,0.05))</f>
        <v>-0.18908916666666667</v>
      </c>
      <c r="F64" s="17" cm="1">
        <f t="array" ref="F64">_xlfn._xlws.PY(63,0)</f>
        <v>-0.18908916666666667</v>
      </c>
      <c r="J64" s="19">
        <f>MAX(Table1[[#This Row],[Excel]:[Expected]])-MIN(Table1[[#This Row],[Excel]:[Expected]])</f>
        <v>0</v>
      </c>
    </row>
    <row r="65" spans="1:11" x14ac:dyDescent="0.25">
      <c r="A65" s="23">
        <v>64</v>
      </c>
      <c r="B65" s="2" t="s">
        <v>90</v>
      </c>
      <c r="C65" s="2" t="s">
        <v>46</v>
      </c>
      <c r="D65" s="18">
        <f>AVERAGE(Fund)-_xlfn.NORM.S.INV(1-0.05)*_xlfn.STDEV.S(Fund)</f>
        <v>-0.15350673952331814</v>
      </c>
      <c r="E65" s="18"/>
      <c r="F65" s="18" cm="1">
        <f t="array" ref="F65">_xlfn._xlws.PY(64,0)</f>
        <v>-0.15350673952331817</v>
      </c>
      <c r="G65" s="18">
        <v>-0.153507</v>
      </c>
      <c r="H65" s="18"/>
      <c r="I65" s="18">
        <v>-0.153506</v>
      </c>
      <c r="J65" s="15">
        <f>MAX(Table1[[#This Row],[Excel]:[Expected]])-MIN(Table1[[#This Row],[Excel]:[Expected]])</f>
        <v>1.0000000000010001E-6</v>
      </c>
      <c r="K65" s="2" t="s">
        <v>104</v>
      </c>
    </row>
    <row r="66" spans="1:11" x14ac:dyDescent="0.25">
      <c r="A66" s="23">
        <v>65</v>
      </c>
      <c r="B66" s="2" t="s">
        <v>90</v>
      </c>
      <c r="C66" s="2" t="s">
        <v>118</v>
      </c>
      <c r="D66" s="17">
        <f>AVERAGE(Fund)-_xlfn.STDEV.S(Fund)*_xlfn.NORM.S.DIST(_xlfn.NORM.S.INV(1-0.05),FALSE)/0.05</f>
        <v>-0.19555305713415305</v>
      </c>
      <c r="E66" s="18"/>
      <c r="F66" s="18" cm="1">
        <f t="array" ref="F66">_xlfn._xlws.PY(65,0)</f>
        <v>-0.19555305713415261</v>
      </c>
      <c r="G66" s="18"/>
      <c r="H66" s="18"/>
      <c r="I66" s="18"/>
      <c r="J66" s="19">
        <f>MAX(Table1[[#This Row],[Excel]:[Expected]])-MIN(Table1[[#This Row],[Excel]:[Expected]])</f>
        <v>4.4408920985006262E-16</v>
      </c>
      <c r="K66" s="2" t="s">
        <v>120</v>
      </c>
    </row>
    <row r="67" spans="1:11" x14ac:dyDescent="0.25">
      <c r="A67" s="23">
        <v>66</v>
      </c>
      <c r="B67" s="2" t="s">
        <v>90</v>
      </c>
      <c r="C67" s="2" t="s">
        <v>40</v>
      </c>
      <c r="D6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67" s="17"/>
      <c r="F67" s="17" cm="1">
        <f t="array" ref="F67">_xlfn._xlws.PY(66,0)</f>
        <v>-0.14788178720027675</v>
      </c>
      <c r="G67" s="17">
        <v>-0.14788200000000001</v>
      </c>
      <c r="H67" s="17"/>
      <c r="I67" s="18">
        <v>-0.14788200000000001</v>
      </c>
      <c r="J67" s="15">
        <f>MAX(Table1[[#This Row],[Excel]:[Expected]])-MIN(Table1[[#This Row],[Excel]:[Expected]])</f>
        <v>2.1279972328702712E-7</v>
      </c>
    </row>
    <row r="68" spans="1:11" x14ac:dyDescent="0.25">
      <c r="A68" s="23" t="s">
        <v>117</v>
      </c>
      <c r="B68" s="2" t="s">
        <v>90</v>
      </c>
      <c r="D68" s="17">
        <f>AVERAGEIF(Fund,"&lt;="&amp;D65)</f>
        <v>-0.19925480000000001</v>
      </c>
      <c r="E68" s="17"/>
      <c r="F68" s="17" cm="1">
        <f t="array" ref="F68">_xlfn._xlws.PY(67,0)</f>
        <v>-0.19925480000000001</v>
      </c>
      <c r="G68" s="17">
        <v>-0.19925499999999999</v>
      </c>
      <c r="H68" s="17"/>
      <c r="I68" s="18">
        <v>-0.19925499999999999</v>
      </c>
      <c r="J68" s="15">
        <f>MAX(Table1[[#This Row],[Excel]:[Expected]])-MIN(Table1[[#This Row],[Excel]:[Expected]])</f>
        <v>1.9999999997799556E-7</v>
      </c>
      <c r="K68" s="2" t="s">
        <v>119</v>
      </c>
    </row>
  </sheetData>
  <conditionalFormatting sqref="J2:J68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2B95C6-AF4C-472A-8D0D-4CEE9C72B422}">
  <ds:schemaRefs/>
</ds:datastoreItem>
</file>

<file path=customXml/itemProps3.xml><?xml version="1.0" encoding="utf-8"?>
<ds:datastoreItem xmlns:ds="http://schemas.openxmlformats.org/officeDocument/2006/customXml" ds:itemID="{E7D3E5D7-FFAE-4D9E-8C45-31A81C0186B3}">
  <ds:schemaRefs/>
</ds:datastoreItem>
</file>

<file path=customXml/itemProps4.xml><?xml version="1.0" encoding="utf-8"?>
<ds:datastoreItem xmlns:ds="http://schemas.openxmlformats.org/officeDocument/2006/customXml" ds:itemID="{A73C85F7-941F-44DF-9415-876AA20FC6DA}">
  <ds:schemaRefs/>
</ds:datastoreItem>
</file>

<file path=customXml/itemProps5.xml><?xml version="1.0" encoding="utf-8"?>
<ds:datastoreItem xmlns:ds="http://schemas.openxmlformats.org/officeDocument/2006/customXml" ds:itemID="{6408D763-89C2-4A7F-83E4-C7F0CC55AD20}">
  <ds:schemaRefs/>
</ds:datastoreItem>
</file>

<file path=customXml/itemProps6.xml><?xml version="1.0" encoding="utf-8"?>
<ds:datastoreItem xmlns:ds="http://schemas.openxmlformats.org/officeDocument/2006/customXml" ds:itemID="{22FFE149-4A23-47DB-A177-618DAFD25093}">
  <ds:schemaRefs/>
</ds:datastoreItem>
</file>

<file path=customXml/itemProps7.xml><?xml version="1.0" encoding="utf-8"?>
<ds:datastoreItem xmlns:ds="http://schemas.openxmlformats.org/officeDocument/2006/customXml" ds:itemID="{363E39E5-8756-422C-BA6C-45A1F78A7378}">
  <ds:schemaRefs/>
</ds:datastoreItem>
</file>

<file path=customXml/itemProps8.xml><?xml version="1.0" encoding="utf-8"?>
<ds:datastoreItem xmlns:ds="http://schemas.openxmlformats.org/officeDocument/2006/customXml" ds:itemID="{AF5194B4-C9F1-4B8F-BBDD-4D2D8B510EBF}">
  <ds:schemaRefs/>
</ds:datastoreItem>
</file>

<file path=customXml/itemProps9.xml><?xml version="1.0" encoding="utf-8"?>
<ds:datastoreItem xmlns:ds="http://schemas.openxmlformats.org/officeDocument/2006/customXml" ds:itemID="{5EDE92DC-C798-4ADD-B75F-65D8CE132ECB}">
  <ds:schemaRefs/>
</ds:datastoreItem>
</file>

<file path=customXml/itemProps10.xml><?xml version="1.0" encoding="utf-8"?>
<ds:datastoreItem xmlns:ds="http://schemas.openxmlformats.org/officeDocument/2006/customXml" ds:itemID="{8D5AF2F2-4814-411E-9B8D-A9760D9D70B7}">
  <ds:schemaRefs/>
</ds:datastoreItem>
</file>

<file path=customXml/itemProps11.xml><?xml version="1.0" encoding="utf-8"?>
<ds:datastoreItem xmlns:ds="http://schemas.openxmlformats.org/officeDocument/2006/customXml" ds:itemID="{F0C8C45B-5467-45FA-AAFD-82A4C40B12D3}">
  <ds:schemaRefs/>
</ds:datastoreItem>
</file>

<file path=customXml/itemProps12.xml><?xml version="1.0" encoding="utf-8"?>
<ds:datastoreItem xmlns:ds="http://schemas.openxmlformats.org/officeDocument/2006/customXml" ds:itemID="{B693C2A1-066A-42F1-A7B1-8A46563AE3E2}">
  <ds:schemaRefs/>
</ds:datastoreItem>
</file>

<file path=customXml/itemProps13.xml><?xml version="1.0" encoding="utf-8"?>
<ds:datastoreItem xmlns:ds="http://schemas.openxmlformats.org/officeDocument/2006/customXml" ds:itemID="{761731AB-A141-4D84-BDCB-1EC22A85F9F3}">
  <ds:schemaRefs/>
</ds:datastoreItem>
</file>

<file path=customXml/itemProps14.xml><?xml version="1.0" encoding="utf-8"?>
<ds:datastoreItem xmlns:ds="http://schemas.openxmlformats.org/officeDocument/2006/customXml" ds:itemID="{41CC2254-8594-494A-9DDA-C89C04EB56D5}">
  <ds:schemaRefs/>
</ds:datastoreItem>
</file>

<file path=customXml/itemProps15.xml><?xml version="1.0" encoding="utf-8"?>
<ds:datastoreItem xmlns:ds="http://schemas.openxmlformats.org/officeDocument/2006/customXml" ds:itemID="{7D588D0E-6B13-4736-AEBC-7057D47D3CB5}">
  <ds:schemaRefs/>
</ds:datastoreItem>
</file>

<file path=customXml/itemProps16.xml><?xml version="1.0" encoding="utf-8"?>
<ds:datastoreItem xmlns:ds="http://schemas.openxmlformats.org/officeDocument/2006/customXml" ds:itemID="{6AE51B09-FDE6-444E-BBFD-2BDD4A6B2E9B}">
  <ds:schemaRefs/>
</ds:datastoreItem>
</file>

<file path=customXml/itemProps17.xml><?xml version="1.0" encoding="utf-8"?>
<ds:datastoreItem xmlns:ds="http://schemas.openxmlformats.org/officeDocument/2006/customXml" ds:itemID="{4CCAE433-3CC3-439D-81C1-78E6C5BAD7F7}">
  <ds:schemaRefs/>
</ds:datastoreItem>
</file>

<file path=customXml/itemProps18.xml><?xml version="1.0" encoding="utf-8"?>
<ds:datastoreItem xmlns:ds="http://schemas.openxmlformats.org/officeDocument/2006/customXml" ds:itemID="{610311A1-C080-4C61-843D-3F94308553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2025-05-20T18:52:19Z</dcterms:modified>
</cp:coreProperties>
</file>