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c111\Dev\CIPM\CIPM\"/>
    </mc:Choice>
  </mc:AlternateContent>
  <xr:revisionPtr revIDLastSave="0" documentId="13_ncr:1_{ED1C179D-5680-43A0-B54D-8008D6A2DB22}" xr6:coauthVersionLast="47" xr6:coauthVersionMax="47" xr10:uidLastSave="{00000000-0000-0000-0000-000000000000}"/>
  <bookViews>
    <workbookView xWindow="-108" yWindow="-108" windowWidth="41496" windowHeight="16776" activeTab="1" xr2:uid="{A0219E52-BC5C-483A-9CFD-680264FDC4D2}"/>
  </bookViews>
  <sheets>
    <sheet name="Performance Measurement" sheetId="3" r:id="rId1"/>
    <sheet name="Return Attribution" sheetId="2" r:id="rId2"/>
    <sheet name="Fixed Income Attribution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U15" i="3" l="1" a="1"/>
  <c r="AU15" i="3" s="1"/>
  <c r="AT15" i="3" a="1"/>
  <c r="AT15" i="3" s="1"/>
  <c r="CD10" i="1" a="1"/>
  <c r="BT14" i="1"/>
  <c r="BT10" i="1"/>
  <c r="BT9" i="1"/>
  <c r="BU5" i="1" a="1"/>
  <c r="BT17" i="1"/>
  <c r="BT8" i="1"/>
  <c r="BC7" i="3" a="1"/>
  <c r="BB6" i="3" a="1"/>
  <c r="BB6" i="3" s="1"/>
  <c r="AV7" i="3" a="1"/>
  <c r="AV7" i="3" s="1"/>
  <c r="AL6" i="3" a="1"/>
  <c r="AN6" i="3" a="1"/>
  <c r="AN6" i="3" s="1"/>
  <c r="AO6" i="3" s="1" a="1"/>
  <c r="AO6" i="3" s="1"/>
  <c r="AH9" i="3" a="1"/>
  <c r="AF6" i="3"/>
  <c r="AF10" i="3" s="1"/>
  <c r="AH6" i="3" s="1"/>
  <c r="AF9" i="3"/>
  <c r="AC9" i="3" a="1"/>
  <c r="AC11" i="3" s="1"/>
  <c r="AA9" i="3"/>
  <c r="AA6" i="3"/>
  <c r="X12" i="3" a="1"/>
  <c r="V9" i="3"/>
  <c r="V6" i="3"/>
  <c r="S9" i="3" a="1"/>
  <c r="Q6" i="3"/>
  <c r="Q9" i="3"/>
  <c r="Q7" i="3"/>
  <c r="N9" i="3" a="1"/>
  <c r="L9" i="3"/>
  <c r="L7" i="3"/>
  <c r="B8" i="3"/>
  <c r="C6" i="3"/>
  <c r="L6" i="3" s="1"/>
  <c r="BL21" i="2" a="1"/>
  <c r="BL21" i="2" s="1"/>
  <c r="BP6" i="2" a="1"/>
  <c r="BP6" i="2" s="1"/>
  <c r="BL18" i="2"/>
  <c r="BM18" i="2"/>
  <c r="BL8" i="2"/>
  <c r="BM8" i="2"/>
  <c r="BM6" i="2"/>
  <c r="BM7" i="2"/>
  <c r="BL6" i="2"/>
  <c r="BL7" i="2"/>
  <c r="BK15" i="2"/>
  <c r="BS7" i="2" s="1"/>
  <c r="BK12" i="2"/>
  <c r="BJ12" i="2"/>
  <c r="BL12" i="2"/>
  <c r="BD7" i="2"/>
  <c r="BD8" i="2"/>
  <c r="BD6" i="2"/>
  <c r="AX17" i="2" a="1"/>
  <c r="AX17" i="2" s="1"/>
  <c r="AV9" i="2"/>
  <c r="AU9" i="2"/>
  <c r="AW15" i="2" s="1" a="1"/>
  <c r="AW15" i="2" s="1"/>
  <c r="AN8" i="2"/>
  <c r="AH8" i="2"/>
  <c r="AP7" i="2"/>
  <c r="AP6" i="2"/>
  <c r="AP8" i="2" s="1"/>
  <c r="Y8" i="2"/>
  <c r="S8" i="2"/>
  <c r="AA7" i="2"/>
  <c r="AA6" i="2"/>
  <c r="L7" i="2"/>
  <c r="L6" i="2"/>
  <c r="L8" i="2" s="1"/>
  <c r="J8" i="2"/>
  <c r="D8" i="2"/>
  <c r="BA16" i="1" a="1"/>
  <c r="BA16" i="1" s="1"/>
  <c r="BB16" i="1" a="1"/>
  <c r="BB16" i="1" s="1"/>
  <c r="BA17" i="1" a="1"/>
  <c r="BA17" i="1" s="1"/>
  <c r="BB17" i="1" a="1"/>
  <c r="BB17" i="1" s="1"/>
  <c r="BA18" i="1" a="1"/>
  <c r="BA18" i="1" s="1"/>
  <c r="BB18" i="1" a="1"/>
  <c r="BB18" i="1" s="1"/>
  <c r="BB8" i="1" a="1"/>
  <c r="BB8" i="1" s="1"/>
  <c r="BB9" i="1" a="1"/>
  <c r="BB9" i="1" s="1"/>
  <c r="BB10" i="1" a="1"/>
  <c r="BB10" i="1" s="1"/>
  <c r="BB11" i="1" a="1"/>
  <c r="BB11" i="1" s="1"/>
  <c r="BB12" i="1" a="1"/>
  <c r="BB12" i="1" s="1"/>
  <c r="BB13" i="1" a="1"/>
  <c r="BB13" i="1" s="1"/>
  <c r="BB14" i="1" a="1"/>
  <c r="BB14" i="1" s="1"/>
  <c r="BB15" i="1" a="1"/>
  <c r="BB15" i="1" s="1"/>
  <c r="BB7" i="1" a="1"/>
  <c r="BB7" i="1" s="1"/>
  <c r="BA8" i="1" a="1"/>
  <c r="BA8" i="1" s="1"/>
  <c r="BA9" i="1" a="1"/>
  <c r="BA9" i="1" s="1"/>
  <c r="BA10" i="1" a="1"/>
  <c r="BA10" i="1" s="1"/>
  <c r="BA11" i="1" a="1"/>
  <c r="BA11" i="1" s="1"/>
  <c r="BA12" i="1" a="1"/>
  <c r="BA12" i="1" s="1"/>
  <c r="BA13" i="1" a="1"/>
  <c r="BA13" i="1" s="1"/>
  <c r="BA14" i="1" a="1"/>
  <c r="BA14" i="1" s="1"/>
  <c r="BA15" i="1" a="1"/>
  <c r="BA15" i="1" s="1"/>
  <c r="BA7" i="1" a="1"/>
  <c r="BA7" i="1" s="1"/>
  <c r="E7" i="1" a="1"/>
  <c r="DK13" i="1" s="1" a="1"/>
  <c r="DK13" i="1" s="1"/>
  <c r="CH7" i="1" a="1"/>
  <c r="CH7" i="1" s="1"/>
  <c r="AI17" i="1"/>
  <c r="AI9" i="1"/>
  <c r="AG17" i="1" a="1"/>
  <c r="AG17" i="1" s="1"/>
  <c r="AH17" i="1" a="1"/>
  <c r="AH17" i="1" s="1"/>
  <c r="AF17" i="1" a="1"/>
  <c r="AF17" i="1" s="1"/>
  <c r="AG9" i="1" a="1"/>
  <c r="AG9" i="1" s="1"/>
  <c r="AH9" i="1" a="1"/>
  <c r="AH9" i="1" s="1"/>
  <c r="AF9" i="1" a="1"/>
  <c r="AF9" i="1" s="1"/>
  <c r="AA6" i="1" a="1"/>
  <c r="AA14" i="1" a="1"/>
  <c r="A7" i="1" a="1"/>
  <c r="A7" i="1" s="1"/>
  <c r="EB7" i="1" s="1" a="1"/>
  <c r="EB7" i="1" s="1"/>
  <c r="W7" i="1" a="1"/>
  <c r="W7" i="1" s="1"/>
  <c r="S7" i="1" a="1"/>
  <c r="S7" i="1" s="1"/>
  <c r="O7" i="1" a="1"/>
  <c r="O7" i="1" s="1"/>
  <c r="N7" i="1" a="1"/>
  <c r="N7" i="1" s="1"/>
  <c r="BC7" i="3" l="1"/>
  <c r="BC13" i="3" s="1"/>
  <c r="BV9" i="1"/>
  <c r="BU5" i="1"/>
  <c r="BU9" i="1" s="1"/>
  <c r="BW9" i="1" s="1"/>
  <c r="BW7" i="1" s="1"/>
  <c r="BV16" i="1"/>
  <c r="BV15" i="1"/>
  <c r="BV13" i="1"/>
  <c r="BV12" i="1"/>
  <c r="BV11" i="1"/>
  <c r="BW8" i="1"/>
  <c r="BT7" i="1"/>
  <c r="CD10" i="1"/>
  <c r="CD11" i="1"/>
  <c r="CD12" i="1"/>
  <c r="CD13" i="1"/>
  <c r="CI7" i="1" a="1"/>
  <c r="CI7" i="1" s="1"/>
  <c r="AL6" i="3"/>
  <c r="AW7" i="3" a="1"/>
  <c r="AW7" i="3" s="1"/>
  <c r="AV13" i="3"/>
  <c r="AZ7" i="3" a="1"/>
  <c r="AZ7" i="3" s="1"/>
  <c r="AZ13" i="3" s="1"/>
  <c r="AC9" i="3"/>
  <c r="AC10" i="3"/>
  <c r="AA10" i="3"/>
  <c r="AA8" i="3"/>
  <c r="V11" i="3"/>
  <c r="X9" i="3"/>
  <c r="V8" i="3"/>
  <c r="X6" i="3"/>
  <c r="V13" i="3"/>
  <c r="V14" i="3" s="1"/>
  <c r="S9" i="3"/>
  <c r="S10" i="3"/>
  <c r="S11" i="3"/>
  <c r="AP6" i="3" a="1"/>
  <c r="AH10" i="3"/>
  <c r="AH9" i="3"/>
  <c r="AH11" i="3"/>
  <c r="AF8" i="3"/>
  <c r="X12" i="3"/>
  <c r="X13" i="3"/>
  <c r="X14" i="3"/>
  <c r="S6" i="3"/>
  <c r="Q8" i="3"/>
  <c r="Q10" i="3"/>
  <c r="Q11" i="3" s="1"/>
  <c r="N6" i="3"/>
  <c r="N10" i="3"/>
  <c r="N9" i="3"/>
  <c r="N11" i="3"/>
  <c r="D6" i="3"/>
  <c r="L8" i="3" s="1"/>
  <c r="C7" i="3"/>
  <c r="L10" i="3" s="1"/>
  <c r="BV8" i="2"/>
  <c r="BS6" i="2"/>
  <c r="BV6" i="2" s="1" a="1"/>
  <c r="BV6" i="2" s="1"/>
  <c r="AA8" i="2"/>
  <c r="AX18" i="2" a="1"/>
  <c r="AX18" i="2" s="1"/>
  <c r="BE6" i="2" s="1"/>
  <c r="AX15" i="2" a="1"/>
  <c r="AX15" i="2" s="1"/>
  <c r="BM12" i="2"/>
  <c r="BL15" i="2"/>
  <c r="BC7" i="2"/>
  <c r="BC6" i="2"/>
  <c r="BC15" i="2" s="1" a="1"/>
  <c r="BC15" i="2" s="1"/>
  <c r="BC8" i="2"/>
  <c r="BE7" i="2"/>
  <c r="BE8" i="2"/>
  <c r="AH9" i="2"/>
  <c r="AH11" i="2"/>
  <c r="AH12" i="2" s="1"/>
  <c r="S11" i="2"/>
  <c r="S12" i="2" s="1"/>
  <c r="S9" i="2"/>
  <c r="D9" i="2"/>
  <c r="D11" i="2"/>
  <c r="D12" i="2" s="1"/>
  <c r="CG7" i="1" a="1"/>
  <c r="CG7" i="1" s="1"/>
  <c r="DQ7" i="1" a="1"/>
  <c r="DQ7" i="1" s="1"/>
  <c r="DK11" i="1" a="1"/>
  <c r="DK11" i="1" s="1"/>
  <c r="DK12" i="1" a="1"/>
  <c r="DK12" i="1" s="1"/>
  <c r="DK10" i="1" a="1"/>
  <c r="DK10" i="1" s="1"/>
  <c r="DK9" i="1" a="1"/>
  <c r="DK9" i="1" s="1"/>
  <c r="DK8" i="1" a="1"/>
  <c r="DK8" i="1" s="1"/>
  <c r="DK14" i="1" a="1"/>
  <c r="DK14" i="1" s="1"/>
  <c r="E7" i="1"/>
  <c r="DK7" i="1" a="1"/>
  <c r="DK7" i="1" s="1"/>
  <c r="DL16" i="1" s="1"/>
  <c r="BY7" i="1" a="1"/>
  <c r="BY7" i="1" s="1"/>
  <c r="CR7" i="1" a="1"/>
  <c r="CR7" i="1" s="1"/>
  <c r="AA6" i="1"/>
  <c r="AG7" i="1" a="1"/>
  <c r="AG7" i="1" s="1"/>
  <c r="AH7" i="1" a="1"/>
  <c r="AH7" i="1" s="1"/>
  <c r="AF7" i="1" a="1"/>
  <c r="AF7" i="1" s="1"/>
  <c r="AG8" i="1" a="1"/>
  <c r="AG8" i="1" s="1"/>
  <c r="AH8" i="1" a="1"/>
  <c r="AH8" i="1" s="1"/>
  <c r="AF8" i="1" a="1"/>
  <c r="AF8" i="1" s="1"/>
  <c r="AI8" i="1" a="1"/>
  <c r="AI8" i="1" s="1"/>
  <c r="AI7" i="1" a="1"/>
  <c r="AI7" i="1" s="1"/>
  <c r="AA14" i="1"/>
  <c r="AG16" i="1" a="1"/>
  <c r="AG16" i="1" s="1"/>
  <c r="AF15" i="1" a="1"/>
  <c r="AF15" i="1" s="1"/>
  <c r="AG15" i="1" a="1"/>
  <c r="AG15" i="1" s="1"/>
  <c r="AH15" i="1" a="1"/>
  <c r="AH15" i="1" s="1"/>
  <c r="AH16" i="1" a="1"/>
  <c r="AH16" i="1" s="1"/>
  <c r="AF16" i="1" a="1"/>
  <c r="AF16" i="1" s="1"/>
  <c r="AI16" i="1" a="1"/>
  <c r="AI16" i="1" s="1"/>
  <c r="AI15" i="1" a="1"/>
  <c r="AI15" i="1" s="1"/>
  <c r="P7" i="1" a="1"/>
  <c r="P7" i="1" l="1"/>
  <c r="CP7" i="1" s="1" a="1"/>
  <c r="CP7" i="1" s="1"/>
  <c r="BW18" i="1"/>
  <c r="BU11" i="1"/>
  <c r="BW11" i="1" s="1"/>
  <c r="BU12" i="1"/>
  <c r="BW12" i="1" s="1"/>
  <c r="BU13" i="1"/>
  <c r="BW13" i="1" s="1"/>
  <c r="BU15" i="1"/>
  <c r="BW15" i="1" s="1"/>
  <c r="BU16" i="1"/>
  <c r="BW16" i="1" s="1"/>
  <c r="DL8" i="1" a="1"/>
  <c r="CO7" i="1" a="1"/>
  <c r="CO7" i="1" s="1"/>
  <c r="CS7" i="1" s="1" a="1"/>
  <c r="CS7" i="1" s="1"/>
  <c r="CS14" i="1" s="1" a="1"/>
  <c r="CS14" i="1" s="1"/>
  <c r="DR10" i="1"/>
  <c r="DO8" i="1"/>
  <c r="V15" i="3"/>
  <c r="W6" i="3" s="1" a="1"/>
  <c r="AP6" i="3"/>
  <c r="AA11" i="3"/>
  <c r="AA12" i="3" s="1"/>
  <c r="AB6" i="3" s="1" a="1"/>
  <c r="AB6" i="3" s="1"/>
  <c r="AC6" i="3"/>
  <c r="AF11" i="3"/>
  <c r="AF12" i="3" s="1"/>
  <c r="AG6" i="3" s="1" a="1"/>
  <c r="Q12" i="3"/>
  <c r="R6" i="3" s="1" a="1"/>
  <c r="R6" i="3" s="1"/>
  <c r="S8" i="3" s="1"/>
  <c r="S12" i="3" s="1"/>
  <c r="D7" i="3"/>
  <c r="C8" i="3"/>
  <c r="S13" i="2"/>
  <c r="T6" i="2" s="1" a="1"/>
  <c r="BM15" i="2"/>
  <c r="BL9" i="2"/>
  <c r="AH13" i="2"/>
  <c r="AI6" i="2" s="1" a="1"/>
  <c r="T6" i="2"/>
  <c r="U9" i="2" s="1"/>
  <c r="Z6" i="2" s="1"/>
  <c r="X6" i="2"/>
  <c r="X7" i="2"/>
  <c r="X8" i="2"/>
  <c r="U12" i="2"/>
  <c r="D13" i="2"/>
  <c r="E6" i="2" s="1" a="1"/>
  <c r="AJ15" i="1" a="1"/>
  <c r="AJ15" i="1" s="1"/>
  <c r="BF7" i="1" s="1" a="1"/>
  <c r="BF7" i="1" s="1"/>
  <c r="AS9" i="1"/>
  <c r="AQ9" i="1" a="1"/>
  <c r="AQ9" i="1" s="1"/>
  <c r="AR9" i="1" a="1"/>
  <c r="AR9" i="1" s="1"/>
  <c r="AP9" i="1" a="1"/>
  <c r="AP9" i="1" s="1"/>
  <c r="AS8" i="1" a="1"/>
  <c r="AS8" i="1" s="1"/>
  <c r="AS7" i="1" a="1"/>
  <c r="AS7" i="1" s="1"/>
  <c r="AQ7" i="1" a="1"/>
  <c r="AQ7" i="1" s="1"/>
  <c r="AR7" i="1" a="1"/>
  <c r="AR7" i="1" s="1"/>
  <c r="AQ8" i="1" a="1"/>
  <c r="AQ8" i="1" s="1"/>
  <c r="AR8" i="1" a="1"/>
  <c r="AR8" i="1" s="1"/>
  <c r="AP7" i="1" a="1"/>
  <c r="AP7" i="1" s="1"/>
  <c r="AP8" i="1" a="1"/>
  <c r="AP8" i="1" s="1"/>
  <c r="AP15" i="1" a="1"/>
  <c r="AP15" i="1" s="1"/>
  <c r="AS17" i="1"/>
  <c r="AQ17" i="1" a="1"/>
  <c r="AQ17" i="1" s="1"/>
  <c r="AR17" i="1" a="1"/>
  <c r="AR17" i="1" s="1"/>
  <c r="AP17" i="1" a="1"/>
  <c r="AP17" i="1" s="1"/>
  <c r="AS16" i="1" a="1"/>
  <c r="AS16" i="1" s="1"/>
  <c r="AS15" i="1" a="1"/>
  <c r="AS15" i="1" s="1"/>
  <c r="AP16" i="1" a="1"/>
  <c r="AP16" i="1" s="1"/>
  <c r="AQ16" i="1" a="1"/>
  <c r="AQ16" i="1" s="1"/>
  <c r="AR16" i="1" a="1"/>
  <c r="AR16" i="1" s="1"/>
  <c r="AQ15" i="1" a="1"/>
  <c r="AQ15" i="1" s="1"/>
  <c r="AR15" i="1" a="1"/>
  <c r="AR15" i="1" s="1"/>
  <c r="AJ7" i="1" a="1"/>
  <c r="AJ7" i="1" s="1"/>
  <c r="BE7" i="1" s="1" a="1"/>
  <c r="BE7" i="1" s="1"/>
  <c r="Y7" i="1" a="1"/>
  <c r="Y7" i="1" s="1"/>
  <c r="U7" i="1" a="1"/>
  <c r="U7" i="1" s="1"/>
  <c r="R14" i="1" s="1" a="1"/>
  <c r="BW14" i="1" l="1"/>
  <c r="DL8" i="1"/>
  <c r="DS10" i="1" s="1" a="1"/>
  <c r="DS10" i="1" s="1"/>
  <c r="DZ7" i="1" s="1" a="1"/>
  <c r="DZ7" i="1" s="1"/>
  <c r="EC7" i="1" s="1" a="1"/>
  <c r="EC7" i="1" s="1"/>
  <c r="EC14" i="1" s="1" a="1"/>
  <c r="EC14" i="1" s="1"/>
  <c r="DO16" i="1" a="1"/>
  <c r="DO16" i="1" s="1"/>
  <c r="DO15" i="1" s="1"/>
  <c r="BW10" i="1"/>
  <c r="BW17" i="1" s="1"/>
  <c r="BW19" i="1" s="1"/>
  <c r="AT7" i="3" a="1"/>
  <c r="AT7" i="3" s="1"/>
  <c r="AT13" i="3" s="1"/>
  <c r="AQ6" i="3" a="1"/>
  <c r="AQ6" i="3" s="1"/>
  <c r="BA7" i="3" s="1" a="1"/>
  <c r="BA7" i="3" s="1"/>
  <c r="AC8" i="3"/>
  <c r="AC12" i="3" s="1"/>
  <c r="X11" i="3"/>
  <c r="W6" i="3"/>
  <c r="X8" i="3" s="1"/>
  <c r="AG6" i="3"/>
  <c r="AH8" i="3" s="1"/>
  <c r="AH12" i="3" s="1"/>
  <c r="D8" i="3"/>
  <c r="E6" i="3" s="1" a="1"/>
  <c r="E6" i="3" s="1"/>
  <c r="L11" i="3"/>
  <c r="L12" i="3" s="1"/>
  <c r="M6" i="3" s="1" a="1"/>
  <c r="BS10" i="2"/>
  <c r="BS12" i="2" s="1"/>
  <c r="BV9" i="2"/>
  <c r="I8" i="2"/>
  <c r="I6" i="2"/>
  <c r="I7" i="2"/>
  <c r="AJ12" i="2"/>
  <c r="AO7" i="2" s="1"/>
  <c r="AM8" i="2"/>
  <c r="AM7" i="2"/>
  <c r="AI6" i="2"/>
  <c r="AJ9" i="2" s="1"/>
  <c r="AM6" i="2"/>
  <c r="AB6" i="2" a="1"/>
  <c r="AB6" i="2" s="1"/>
  <c r="AB8" i="2" s="1"/>
  <c r="Z7" i="2"/>
  <c r="AC6" i="2" s="1" a="1"/>
  <c r="AC6" i="2" s="1"/>
  <c r="AC8" i="2" s="1"/>
  <c r="U13" i="2"/>
  <c r="Z8" i="2" s="1"/>
  <c r="E6" i="2"/>
  <c r="F9" i="2" s="1"/>
  <c r="K6" i="2" s="1"/>
  <c r="F12" i="2"/>
  <c r="K7" i="2" s="1"/>
  <c r="DO12" i="1" a="1"/>
  <c r="DO12" i="1" s="1"/>
  <c r="DO11" i="1" s="1"/>
  <c r="DO9" i="1" a="1"/>
  <c r="DO9" i="1" s="1"/>
  <c r="DO7" i="1" s="1"/>
  <c r="DL15" i="1"/>
  <c r="DL17" i="1" s="1"/>
  <c r="AT7" i="1" a="1"/>
  <c r="AT7" i="1" s="1"/>
  <c r="BC7" i="1" s="1" a="1"/>
  <c r="AT15" i="1" a="1"/>
  <c r="AT15" i="1" s="1"/>
  <c r="BD7" i="1" s="1" a="1"/>
  <c r="Y15" i="1"/>
  <c r="R14" i="1"/>
  <c r="AU7" i="3" l="1" a="1"/>
  <c r="AU7" i="3" s="1"/>
  <c r="AU13" i="3" s="1"/>
  <c r="AR6" i="3" a="1"/>
  <c r="AR6" i="3" s="1"/>
  <c r="AX7" i="3" a="1"/>
  <c r="AX7" i="3" s="1"/>
  <c r="AW13" i="3"/>
  <c r="AY7" i="3" a="1"/>
  <c r="AY7" i="3" s="1"/>
  <c r="AY13" i="3" s="1"/>
  <c r="X15" i="3"/>
  <c r="M6" i="3"/>
  <c r="N8" i="3" s="1"/>
  <c r="N12" i="3" s="1"/>
  <c r="BV12" i="2"/>
  <c r="BV10" i="2"/>
  <c r="AQ6" i="2" a="1"/>
  <c r="AQ6" i="2" s="1"/>
  <c r="AQ8" i="2" s="1"/>
  <c r="N6" i="2" a="1"/>
  <c r="N6" i="2" s="1"/>
  <c r="N8" i="2" s="1"/>
  <c r="M6" i="2" a="1"/>
  <c r="M6" i="2" s="1"/>
  <c r="M8" i="2" s="1"/>
  <c r="AO6" i="2"/>
  <c r="AR6" i="2" s="1" a="1"/>
  <c r="AR6" i="2" s="1"/>
  <c r="AR8" i="2" s="1"/>
  <c r="AJ13" i="2"/>
  <c r="AO8" i="2" s="1"/>
  <c r="F13" i="2"/>
  <c r="K8" i="2" s="1"/>
  <c r="BG15" i="1"/>
  <c r="BG12" i="1"/>
  <c r="BG9" i="1"/>
  <c r="BH15" i="1"/>
  <c r="BH12" i="1"/>
  <c r="BH9" i="1"/>
  <c r="BP11" i="1"/>
  <c r="BP8" i="1"/>
  <c r="BP14" i="1"/>
  <c r="BP10" i="1"/>
  <c r="BD19" i="1"/>
  <c r="BP13" i="1"/>
  <c r="BC7" i="1"/>
  <c r="BO11" i="1"/>
  <c r="BN12" i="1"/>
  <c r="BN15" i="1"/>
  <c r="BO14" i="1"/>
  <c r="BD7" i="1"/>
  <c r="DO18" i="1"/>
  <c r="BL15" i="1" l="1"/>
  <c r="BM15" i="1" s="1"/>
  <c r="BL12" i="1"/>
  <c r="BM12" i="1" s="1"/>
  <c r="BL9" i="1"/>
  <c r="BN9" i="1"/>
  <c r="BO8" i="1"/>
  <c r="BP7" i="1"/>
  <c r="BQ7" i="1" s="1" a="1"/>
  <c r="BQ7" i="1" s="1"/>
  <c r="BM9" i="1" l="1"/>
  <c r="BL16" i="1" a="1"/>
  <c r="BL1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<sst xmlns="http://schemas.openxmlformats.org/spreadsheetml/2006/main" count="532" uniqueCount="197">
  <si>
    <t>Bond</t>
  </si>
  <si>
    <t>Exhibit 2: Bonds Universe</t>
  </si>
  <si>
    <t>Duration</t>
  </si>
  <si>
    <t>Convexity</t>
  </si>
  <si>
    <t>YTM</t>
  </si>
  <si>
    <t>Price</t>
  </si>
  <si>
    <t>Coupon</t>
  </si>
  <si>
    <t>Income</t>
  </si>
  <si>
    <t>Total</t>
  </si>
  <si>
    <t>Weight</t>
  </si>
  <si>
    <t>Portfolio</t>
  </si>
  <si>
    <t>Benchmark</t>
  </si>
  <si>
    <t>Return</t>
  </si>
  <si>
    <t>Formula</t>
  </si>
  <si>
    <t>Rate of Return</t>
  </si>
  <si>
    <t>Contribution to</t>
  </si>
  <si>
    <t>Excess</t>
  </si>
  <si>
    <t>Type</t>
  </si>
  <si>
    <t>Maturity</t>
  </si>
  <si>
    <t>Government</t>
  </si>
  <si>
    <t>Corporate</t>
  </si>
  <si>
    <t>Bucket</t>
  </si>
  <si>
    <t>Short</t>
  </si>
  <si>
    <t>Mid</t>
  </si>
  <si>
    <t>Long</t>
  </si>
  <si>
    <t>TTM</t>
  </si>
  <si>
    <t>Weights</t>
  </si>
  <si>
    <t>Exhibit 4: Portfolio Exposure</t>
  </si>
  <si>
    <t>Exhibit 5: Benchmark Exposure</t>
  </si>
  <si>
    <t>Partial Duration</t>
  </si>
  <si>
    <t>Exhibit 3: Portfolio and Benchmark Weights</t>
  </si>
  <si>
    <t>Exhibit 6: Portfolio Returns</t>
  </si>
  <si>
    <t>Contribution</t>
  </si>
  <si>
    <t>Yield Curve Decomposition - Duration Based</t>
  </si>
  <si>
    <t>Roll</t>
  </si>
  <si>
    <t>Shift</t>
  </si>
  <si>
    <t>Slope</t>
  </si>
  <si>
    <t>Curvature</t>
  </si>
  <si>
    <t>Spread</t>
  </si>
  <si>
    <t>Specific</t>
  </si>
  <si>
    <t>Exhibit 39: Return Factors</t>
  </si>
  <si>
    <t>Yield Variations</t>
  </si>
  <si>
    <t>Exhibit 38: Yield Variations</t>
  </si>
  <si>
    <t>Yield</t>
  </si>
  <si>
    <t>Return Factors</t>
  </si>
  <si>
    <t>Residual</t>
  </si>
  <si>
    <t>Exhibit 42: Active Return Factor Contribution</t>
  </si>
  <si>
    <t>Added Value</t>
  </si>
  <si>
    <t>Yield Curve Decomposition - Full Repricing</t>
  </si>
  <si>
    <t>Spot Rate</t>
  </si>
  <si>
    <t>Period</t>
  </si>
  <si>
    <t>Amortized</t>
  </si>
  <si>
    <t>Sloped</t>
  </si>
  <si>
    <t>Shifted</t>
  </si>
  <si>
    <t>Systematic</t>
  </si>
  <si>
    <t>Price Return</t>
  </si>
  <si>
    <t>Coupon Return</t>
  </si>
  <si>
    <t>Total Return</t>
  </si>
  <si>
    <t>Passage of time</t>
  </si>
  <si>
    <t>Amortization</t>
  </si>
  <si>
    <t>Roll down</t>
  </si>
  <si>
    <t>Curve variation</t>
  </si>
  <si>
    <t>Spread variations</t>
  </si>
  <si>
    <t>Sector</t>
  </si>
  <si>
    <t>Exhibit 66: Single Bond Return Attribution</t>
  </si>
  <si>
    <t>Begin (T)</t>
  </si>
  <si>
    <t>End (T+1)</t>
  </si>
  <si>
    <t>Systmatic spread</t>
  </si>
  <si>
    <t>Exhibit 65: Summary of Price Return Factors</t>
  </si>
  <si>
    <t>T</t>
  </si>
  <si>
    <t>T+1</t>
  </si>
  <si>
    <t>Inputs:</t>
  </si>
  <si>
    <t>Weights (Portfolio, Benchmark)</t>
  </si>
  <si>
    <t>Duration &amp; Convexity (Portfolio)</t>
  </si>
  <si>
    <t>YTM (Portfolio)</t>
  </si>
  <si>
    <t>Total Return (Portfolio)</t>
  </si>
  <si>
    <t>Yield Variations (Government Curve, Spread[Systematic, Specific])</t>
  </si>
  <si>
    <t>Exposure Decomposition - Duration Based</t>
  </si>
  <si>
    <t>Duration Bucket</t>
  </si>
  <si>
    <t>Duration Effect</t>
  </si>
  <si>
    <t>Curve Effect</t>
  </si>
  <si>
    <t>Total Interest Rate Allocation</t>
  </si>
  <si>
    <t>Sector Allocation</t>
  </si>
  <si>
    <t>Bond Selection</t>
  </si>
  <si>
    <t>Exhibit 20: Final Exposure Decomposition Attribution</t>
  </si>
  <si>
    <t>Reshape Data</t>
  </si>
  <si>
    <t>Exhibit 7: Benchmark Returns</t>
  </si>
  <si>
    <t>Duration Return</t>
  </si>
  <si>
    <t>Source Data</t>
  </si>
  <si>
    <t>Exhibit 70: Added Value (Attribution Effects)</t>
  </si>
  <si>
    <t>Exhibit 67: Return Factors</t>
  </si>
  <si>
    <t>Amort</t>
  </si>
  <si>
    <t>Asset Class</t>
  </si>
  <si>
    <t>Holding</t>
  </si>
  <si>
    <t>Exposure</t>
  </si>
  <si>
    <t>US company</t>
  </si>
  <si>
    <t>Long Call</t>
  </si>
  <si>
    <t>Physical cash</t>
  </si>
  <si>
    <t>Effective cash</t>
  </si>
  <si>
    <t>Notional assets</t>
  </si>
  <si>
    <t>Delta</t>
  </si>
  <si>
    <t>Total US</t>
  </si>
  <si>
    <t>Economic Exposure</t>
  </si>
  <si>
    <t>Exhibit 8</t>
  </si>
  <si>
    <t>Fixed Income Attribution</t>
  </si>
  <si>
    <t>Exhibit 9</t>
  </si>
  <si>
    <t>Topics in Return Attribution</t>
  </si>
  <si>
    <t>Allocation</t>
  </si>
  <si>
    <t>Selection</t>
  </si>
  <si>
    <t>Exhibit 10</t>
  </si>
  <si>
    <t>Exhibit 11</t>
  </si>
  <si>
    <t>Short Call</t>
  </si>
  <si>
    <t>Long Put</t>
  </si>
  <si>
    <t>Exhibit 16</t>
  </si>
  <si>
    <t>UK equities</t>
  </si>
  <si>
    <t>Australian equities</t>
  </si>
  <si>
    <t>US equities</t>
  </si>
  <si>
    <t>GBP forward contracts</t>
  </si>
  <si>
    <t>AUD forward contracts</t>
  </si>
  <si>
    <t>USD forward contracts</t>
  </si>
  <si>
    <t>Local Interest Rate</t>
  </si>
  <si>
    <t>Spot Currency Return</t>
  </si>
  <si>
    <t>Currency</t>
  </si>
  <si>
    <t>Equity premium benchmark</t>
  </si>
  <si>
    <t>Currency benchmark</t>
  </si>
  <si>
    <t>Exhibit 18</t>
  </si>
  <si>
    <t>European equities</t>
  </si>
  <si>
    <t>Local Return</t>
  </si>
  <si>
    <t>Base Return</t>
  </si>
  <si>
    <t>R_L</t>
  </si>
  <si>
    <t>B_L</t>
  </si>
  <si>
    <t>B_SL</t>
  </si>
  <si>
    <t>Stock Selection</t>
  </si>
  <si>
    <t>R_C</t>
  </si>
  <si>
    <t>B_C</t>
  </si>
  <si>
    <t>R</t>
  </si>
  <si>
    <t>B</t>
  </si>
  <si>
    <t>Naïve Currency</t>
  </si>
  <si>
    <t>R'C</t>
  </si>
  <si>
    <t>B'C</t>
  </si>
  <si>
    <t>Naïve</t>
  </si>
  <si>
    <t>Compounding</t>
  </si>
  <si>
    <t>Geometric</t>
  </si>
  <si>
    <t>Currency Overlay</t>
  </si>
  <si>
    <t>Forward Return</t>
  </si>
  <si>
    <t>Hedged
Return</t>
  </si>
  <si>
    <t>R''C</t>
  </si>
  <si>
    <t xml:space="preserve">Asset </t>
  </si>
  <si>
    <t>Actual</t>
  </si>
  <si>
    <t>Futures</t>
  </si>
  <si>
    <t>Economic</t>
  </si>
  <si>
    <t>German equities</t>
  </si>
  <si>
    <t>Cash</t>
  </si>
  <si>
    <t>DAX</t>
  </si>
  <si>
    <t>DAX Futures</t>
  </si>
  <si>
    <t>German equities (notional)</t>
  </si>
  <si>
    <t>German equities (stocks)</t>
  </si>
  <si>
    <t>German equities (total)</t>
  </si>
  <si>
    <t>Cash (physical)</t>
  </si>
  <si>
    <t>Cash (notional)</t>
  </si>
  <si>
    <t>Cash (netted)</t>
  </si>
  <si>
    <t>Cash income</t>
  </si>
  <si>
    <t>French equities (notional)</t>
  </si>
  <si>
    <t>French equities (stocks)</t>
  </si>
  <si>
    <t>French equities (total)</t>
  </si>
  <si>
    <t>CAC</t>
  </si>
  <si>
    <t>CAC Futures</t>
  </si>
  <si>
    <t>Market Value</t>
  </si>
  <si>
    <t>Local</t>
  </si>
  <si>
    <t>Local (USD)</t>
  </si>
  <si>
    <t>USD/GBP</t>
  </si>
  <si>
    <t>Spot</t>
  </si>
  <si>
    <t>GBP/USD</t>
  </si>
  <si>
    <t>Base</t>
  </si>
  <si>
    <t>Forward</t>
  </si>
  <si>
    <t>Exhibit 24: Currency Hedging</t>
  </si>
  <si>
    <t>Currency Return</t>
  </si>
  <si>
    <t>Discount</t>
  </si>
  <si>
    <t>Premium</t>
  </si>
  <si>
    <t>Overlay</t>
  </si>
  <si>
    <t>Hedged</t>
  </si>
  <si>
    <t>na</t>
  </si>
  <si>
    <t>Perfect</t>
  </si>
  <si>
    <t>Base (GBP</t>
  </si>
  <si>
    <t>Cumulative</t>
  </si>
  <si>
    <t>Overlay PnL</t>
  </si>
  <si>
    <t>Combined</t>
  </si>
  <si>
    <t>Exhibit 35: Yield Curve Decomposition (Single Bond)</t>
  </si>
  <si>
    <t>Initial yield</t>
  </si>
  <si>
    <t>Ending yield</t>
  </si>
  <si>
    <t>Actual total return</t>
  </si>
  <si>
    <t>Exhibit 10: Short DAX Futures</t>
  </si>
  <si>
    <t>Exhibit 8: Long DAX Futures</t>
  </si>
  <si>
    <t>Exhibit 13: Long DAX &amp; Short CAC Futures</t>
  </si>
  <si>
    <t>Exhibit 16: Long DAX Calls</t>
  </si>
  <si>
    <t>Exhibit 16: Short DAX Calls</t>
  </si>
  <si>
    <t>Base Currency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</si>
</sst>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164" formatCode="0.0%"/>
    <numFmt numFmtId="165" formatCode="[$-409]mmm\ d\,\ yyyy;@"/>
    <numFmt numFmtId="166" formatCode="0.000%"/>
    <numFmt numFmtId="167" formatCode="0.0000%"/>
    <numFmt numFmtId="168" formatCode="0.0"/>
    <numFmt numFmtId="169" formatCode="m/d;@"/>
    <numFmt numFmtId="170" formatCode="0.00000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0"/>
      <name val="Aptos Narrow"/>
      <family val="2"/>
      <scheme val="minor"/>
    </font>
    <font>
      <sz val="10"/>
      <name val="Aptos Narrow"/>
      <family val="2"/>
      <scheme val="minor"/>
    </font>
    <font>
      <sz val="10"/>
      <color theme="0" tint="-0.249977111117893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4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2" fillId="2" borderId="0" xfId="0" applyFont="1" applyFill="1"/>
    <xf numFmtId="9" fontId="2" fillId="2" borderId="0" xfId="0" applyNumberFormat="1" applyFont="1" applyFill="1"/>
    <xf numFmtId="15" fontId="2" fillId="2" borderId="0" xfId="0" applyNumberFormat="1" applyFont="1" applyFill="1"/>
    <xf numFmtId="1" fontId="2" fillId="0" borderId="0" xfId="0" applyNumberFormat="1" applyFont="1"/>
    <xf numFmtId="2" fontId="2" fillId="2" borderId="0" xfId="0" applyNumberFormat="1" applyFont="1" applyFill="1"/>
    <xf numFmtId="10" fontId="2" fillId="2" borderId="0" xfId="0" applyNumberFormat="1" applyFont="1" applyFill="1"/>
    <xf numFmtId="164" fontId="2" fillId="2" borderId="0" xfId="0" applyNumberFormat="1" applyFont="1" applyFill="1"/>
    <xf numFmtId="10" fontId="2" fillId="0" borderId="0" xfId="1" applyNumberFormat="1" applyFont="1"/>
    <xf numFmtId="2" fontId="2" fillId="0" borderId="0" xfId="0" applyNumberFormat="1" applyFont="1"/>
    <xf numFmtId="0" fontId="3" fillId="0" borderId="0" xfId="0" applyFont="1"/>
    <xf numFmtId="9" fontId="2" fillId="0" borderId="0" xfId="1" applyFont="1"/>
    <xf numFmtId="9" fontId="3" fillId="0" borderId="0" xfId="0" applyNumberFormat="1" applyFont="1"/>
    <xf numFmtId="2" fontId="3" fillId="0" borderId="0" xfId="0" applyNumberFormat="1" applyFont="1"/>
    <xf numFmtId="10" fontId="3" fillId="0" borderId="0" xfId="1" applyNumberFormat="1" applyFont="1" applyFill="1"/>
    <xf numFmtId="10" fontId="3" fillId="0" borderId="0" xfId="0" applyNumberFormat="1" applyFont="1"/>
    <xf numFmtId="9" fontId="3" fillId="0" borderId="0" xfId="1" applyFont="1"/>
    <xf numFmtId="0" fontId="3" fillId="0" borderId="0" xfId="0" applyFont="1" applyAlignment="1">
      <alignment horizontal="left"/>
    </xf>
    <xf numFmtId="10" fontId="3" fillId="0" borderId="0" xfId="1" applyNumberFormat="1" applyFont="1"/>
    <xf numFmtId="10" fontId="2" fillId="2" borderId="0" xfId="1" applyNumberFormat="1" applyFont="1" applyFill="1"/>
    <xf numFmtId="0" fontId="4" fillId="3" borderId="0" xfId="0" applyFont="1" applyFill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165" fontId="3" fillId="0" borderId="1" xfId="0" applyNumberFormat="1" applyFont="1" applyBorder="1"/>
    <xf numFmtId="10" fontId="3" fillId="0" borderId="0" xfId="1" applyNumberFormat="1" applyFont="1" applyAlignment="1">
      <alignment horizontal="center"/>
    </xf>
    <xf numFmtId="10" fontId="3" fillId="0" borderId="1" xfId="1" applyNumberFormat="1" applyFont="1" applyBorder="1" applyAlignment="1">
      <alignment horizontal="center"/>
    </xf>
    <xf numFmtId="10" fontId="2" fillId="0" borderId="0" xfId="0" applyNumberFormat="1" applyFont="1"/>
    <xf numFmtId="0" fontId="3" fillId="4" borderId="0" xfId="0" applyFont="1" applyFill="1"/>
    <xf numFmtId="10" fontId="3" fillId="4" borderId="0" xfId="1" applyNumberFormat="1" applyFont="1" applyFill="1"/>
    <xf numFmtId="9" fontId="3" fillId="0" borderId="0" xfId="1" applyFont="1" applyAlignment="1">
      <alignment horizontal="center"/>
    </xf>
    <xf numFmtId="9" fontId="3" fillId="0" borderId="1" xfId="1" applyFont="1" applyBorder="1" applyAlignment="1">
      <alignment horizontal="center"/>
    </xf>
    <xf numFmtId="2" fontId="3" fillId="0" borderId="0" xfId="1" applyNumberFormat="1" applyFont="1"/>
    <xf numFmtId="2" fontId="3" fillId="0" borderId="0" xfId="1" applyNumberFormat="1" applyFont="1" applyAlignment="1">
      <alignment horizontal="center"/>
    </xf>
    <xf numFmtId="2" fontId="3" fillId="0" borderId="1" xfId="1" applyNumberFormat="1" applyFont="1" applyBorder="1" applyAlignment="1">
      <alignment horizontal="center"/>
    </xf>
    <xf numFmtId="2" fontId="2" fillId="0" borderId="0" xfId="1" applyNumberFormat="1" applyFont="1"/>
    <xf numFmtId="2" fontId="6" fillId="0" borderId="0" xfId="1" applyNumberFormat="1" applyFont="1"/>
    <xf numFmtId="10" fontId="5" fillId="0" borderId="0" xfId="1" applyNumberFormat="1" applyFont="1"/>
    <xf numFmtId="10" fontId="5" fillId="0" borderId="0" xfId="1" applyNumberFormat="1" applyFont="1" applyAlignment="1">
      <alignment horizontal="center"/>
    </xf>
    <xf numFmtId="10" fontId="6" fillId="0" borderId="0" xfId="1" applyNumberFormat="1" applyFont="1"/>
    <xf numFmtId="2" fontId="7" fillId="0" borderId="0" xfId="1" applyNumberFormat="1" applyFont="1"/>
    <xf numFmtId="10" fontId="3" fillId="0" borderId="3" xfId="1" applyNumberFormat="1" applyFont="1" applyBorder="1"/>
    <xf numFmtId="0" fontId="2" fillId="0" borderId="0" xfId="0" applyFont="1" applyAlignment="1">
      <alignment vertical="center"/>
    </xf>
    <xf numFmtId="10" fontId="2" fillId="0" borderId="0" xfId="1" applyNumberFormat="1" applyFont="1" applyAlignment="1">
      <alignment vertical="center"/>
    </xf>
    <xf numFmtId="10" fontId="2" fillId="2" borderId="0" xfId="1" applyNumberFormat="1" applyFont="1" applyFill="1" applyAlignment="1">
      <alignment vertical="center"/>
    </xf>
    <xf numFmtId="3" fontId="2" fillId="0" borderId="0" xfId="0" applyNumberFormat="1" applyFont="1"/>
    <xf numFmtId="3" fontId="3" fillId="0" borderId="0" xfId="0" applyNumberFormat="1" applyFont="1"/>
    <xf numFmtId="3" fontId="2" fillId="2" borderId="0" xfId="0" applyNumberFormat="1" applyFont="1" applyFill="1"/>
    <xf numFmtId="0" fontId="3" fillId="0" borderId="1" xfId="0" applyFont="1" applyBorder="1"/>
    <xf numFmtId="3" fontId="3" fillId="0" borderId="1" xfId="0" applyNumberFormat="1" applyFont="1" applyBorder="1"/>
    <xf numFmtId="3" fontId="2" fillId="0" borderId="4" xfId="0" applyNumberFormat="1" applyFont="1" applyBorder="1"/>
    <xf numFmtId="3" fontId="2" fillId="0" borderId="5" xfId="0" applyNumberFormat="1" applyFont="1" applyBorder="1"/>
    <xf numFmtId="9" fontId="2" fillId="0" borderId="4" xfId="1" applyFont="1" applyBorder="1"/>
    <xf numFmtId="9" fontId="2" fillId="0" borderId="5" xfId="1" applyFont="1" applyBorder="1"/>
    <xf numFmtId="9" fontId="2" fillId="0" borderId="0" xfId="0" applyNumberFormat="1" applyFont="1"/>
    <xf numFmtId="164" fontId="2" fillId="2" borderId="4" xfId="0" applyNumberFormat="1" applyFont="1" applyFill="1" applyBorder="1"/>
    <xf numFmtId="164" fontId="2" fillId="2" borderId="0" xfId="1" applyNumberFormat="1" applyFont="1" applyFill="1"/>
    <xf numFmtId="164" fontId="2" fillId="2" borderId="4" xfId="1" applyNumberFormat="1" applyFont="1" applyFill="1" applyBorder="1"/>
    <xf numFmtId="166" fontId="2" fillId="0" borderId="0" xfId="0" applyNumberFormat="1" applyFont="1"/>
    <xf numFmtId="164" fontId="2" fillId="0" borderId="5" xfId="0" applyNumberFormat="1" applyFont="1" applyBorder="1"/>
    <xf numFmtId="0" fontId="5" fillId="0" borderId="0" xfId="0" applyFont="1"/>
    <xf numFmtId="164" fontId="2" fillId="0" borderId="0" xfId="0" applyNumberFormat="1" applyFont="1"/>
    <xf numFmtId="0" fontId="2" fillId="5" borderId="0" xfId="0" applyFont="1" applyFill="1"/>
    <xf numFmtId="2" fontId="2" fillId="5" borderId="0" xfId="0" applyNumberFormat="1" applyFont="1" applyFill="1"/>
    <xf numFmtId="9" fontId="2" fillId="5" borderId="0" xfId="0" applyNumberFormat="1" applyFont="1" applyFill="1"/>
    <xf numFmtId="0" fontId="3" fillId="0" borderId="0" xfId="0" applyFont="1" applyAlignment="1">
      <alignment horizontal="center" wrapText="1"/>
    </xf>
    <xf numFmtId="164" fontId="2" fillId="0" borderId="0" xfId="1" applyNumberFormat="1" applyFont="1"/>
    <xf numFmtId="9" fontId="2" fillId="2" borderId="0" xfId="1" applyFont="1" applyFill="1"/>
    <xf numFmtId="166" fontId="2" fillId="0" borderId="0" xfId="1" applyNumberFormat="1" applyFont="1"/>
    <xf numFmtId="164" fontId="3" fillId="0" borderId="0" xfId="1" applyNumberFormat="1" applyFont="1"/>
    <xf numFmtId="9" fontId="3" fillId="0" borderId="1" xfId="1" applyFont="1" applyBorder="1"/>
    <xf numFmtId="10" fontId="4" fillId="0" borderId="0" xfId="1" applyNumberFormat="1" applyFont="1"/>
    <xf numFmtId="167" fontId="2" fillId="0" borderId="0" xfId="1" applyNumberFormat="1" applyFont="1"/>
    <xf numFmtId="167" fontId="2" fillId="0" borderId="0" xfId="0" applyNumberFormat="1" applyFont="1"/>
    <xf numFmtId="10" fontId="2" fillId="0" borderId="3" xfId="1" applyNumberFormat="1" applyFont="1" applyBorder="1"/>
    <xf numFmtId="164" fontId="2" fillId="0" borderId="0" xfId="1" applyNumberFormat="1" applyFont="1" applyFill="1"/>
    <xf numFmtId="167" fontId="7" fillId="0" borderId="0" xfId="0" applyNumberFormat="1" applyFont="1"/>
    <xf numFmtId="167" fontId="7" fillId="0" borderId="0" xfId="1" applyNumberFormat="1" applyFont="1"/>
    <xf numFmtId="10" fontId="2" fillId="0" borderId="4" xfId="0" applyNumberFormat="1" applyFont="1" applyBorder="1"/>
    <xf numFmtId="0" fontId="3" fillId="0" borderId="0" xfId="0" applyFont="1" applyAlignment="1">
      <alignment wrapText="1"/>
    </xf>
    <xf numFmtId="3" fontId="3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169" fontId="3" fillId="0" borderId="1" xfId="0" applyNumberFormat="1" applyFont="1" applyBorder="1" applyAlignment="1">
      <alignment horizontal="center"/>
    </xf>
    <xf numFmtId="3" fontId="7" fillId="2" borderId="0" xfId="0" applyNumberFormat="1" applyFont="1" applyFill="1"/>
    <xf numFmtId="10" fontId="2" fillId="0" borderId="0" xfId="1" applyNumberFormat="1" applyFont="1" applyFill="1"/>
    <xf numFmtId="168" fontId="2" fillId="2" borderId="0" xfId="1" applyNumberFormat="1" applyFont="1" applyFill="1"/>
    <xf numFmtId="2" fontId="2" fillId="2" borderId="0" xfId="1" applyNumberFormat="1" applyFont="1" applyFill="1"/>
    <xf numFmtId="170" fontId="2" fillId="0" borderId="0" xfId="1" applyNumberFormat="1" applyFont="1" applyFill="1"/>
    <xf numFmtId="0" fontId="3" fillId="0" borderId="0" xfId="0" applyFont="1" applyAlignment="1">
      <alignment horizontal="right"/>
    </xf>
    <xf numFmtId="4" fontId="2" fillId="0" borderId="0" xfId="0" applyNumberFormat="1" applyFont="1"/>
    <xf numFmtId="0" fontId="2" fillId="4" borderId="0" xfId="0" applyFont="1" applyFill="1"/>
    <xf numFmtId="10" fontId="2" fillId="4" borderId="0" xfId="1" applyNumberFormat="1" applyFont="1" applyFill="1"/>
    <xf numFmtId="167" fontId="2" fillId="4" borderId="0" xfId="1" applyNumberFormat="1" applyFont="1" applyFill="1"/>
    <xf numFmtId="0" fontId="3" fillId="0" borderId="2" xfId="0" applyFont="1" applyBorder="1"/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9" fontId="3" fillId="0" borderId="1" xfId="1" applyFont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0" xfId="0" applyFont="1" applyAlignment="1">
      <alignment horizontal="left"/>
    </xf>
    <xf numFmtId="0" fontId="4" fillId="3" borderId="0" xfId="0" applyFont="1" applyFill="1" applyAlignment="1">
      <alignment horizontal="center" wrapText="1"/>
    </xf>
    <xf numFmtId="165" fontId="3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5" fillId="0" borderId="0" xfId="0" applyFont="1" applyAlignment="1">
      <alignment horizontal="left"/>
    </xf>
    <xf numFmtId="10" fontId="3" fillId="0" borderId="1" xfId="1" applyNumberFormat="1" applyFont="1" applyBorder="1" applyAlignment="1">
      <alignment horizontal="center"/>
    </xf>
    <xf numFmtId="2" fontId="3" fillId="0" borderId="1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1" defaultTableStyle="TableStyleMedium2" defaultPivotStyle="PivotStyleLight16">
    <tableStyle name="Invisible" pivot="0" table="0" count="0" xr9:uid="{E137E3AC-C328-4866-AEEC-761A0FBDC41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B23C4-E01B-4DB3-AB70-0D12783B2017}">
  <dimension ref="A3:BC20"/>
  <sheetViews>
    <sheetView topLeftCell="AL1" workbookViewId="0">
      <selection activeCell="BD6" sqref="BD6"/>
    </sheetView>
  </sheetViews>
  <sheetFormatPr defaultRowHeight="13.8" x14ac:dyDescent="0.3"/>
  <cols>
    <col min="1" max="1" width="13.5546875" style="1" bestFit="1" customWidth="1"/>
    <col min="2" max="2" width="9.44140625" style="51" bestFit="1" customWidth="1"/>
    <col min="3" max="3" width="8.44140625" style="1" bestFit="1" customWidth="1"/>
    <col min="4" max="4" width="9.44140625" style="1" bestFit="1" customWidth="1"/>
    <col min="5" max="5" width="7.77734375" style="1" bestFit="1" customWidth="1"/>
    <col min="6" max="6" width="8.88671875" style="1"/>
    <col min="7" max="7" width="11" style="1" bestFit="1" customWidth="1"/>
    <col min="8" max="10" width="8.88671875" style="1"/>
    <col min="11" max="11" width="21.5546875" style="1" bestFit="1" customWidth="1"/>
    <col min="12" max="13" width="8.88671875" style="1"/>
    <col min="14" max="14" width="6.33203125" style="1" bestFit="1" customWidth="1"/>
    <col min="15" max="15" width="8.88671875" style="1"/>
    <col min="16" max="16" width="21.5546875" style="1" bestFit="1" customWidth="1"/>
    <col min="17" max="20" width="8.88671875" style="1"/>
    <col min="21" max="21" width="21.5546875" style="1" bestFit="1" customWidth="1"/>
    <col min="22" max="25" width="8.88671875" style="1"/>
    <col min="26" max="26" width="21.5546875" style="1" bestFit="1" customWidth="1"/>
    <col min="27" max="27" width="8.88671875" style="1"/>
    <col min="28" max="28" width="7.88671875" style="1" bestFit="1" customWidth="1"/>
    <col min="29" max="29" width="6.33203125" style="1" bestFit="1" customWidth="1"/>
    <col min="30" max="30" width="8.88671875" style="1"/>
    <col min="31" max="31" width="21.5546875" style="1" bestFit="1" customWidth="1"/>
    <col min="32" max="32" width="8.88671875" style="1"/>
    <col min="33" max="33" width="7.88671875" style="1" bestFit="1" customWidth="1"/>
    <col min="34" max="34" width="6.44140625" style="1" bestFit="1" customWidth="1"/>
    <col min="35" max="40" width="8.88671875" style="1"/>
    <col min="41" max="41" width="8.88671875" style="14"/>
    <col min="42" max="43" width="8.88671875" style="1"/>
    <col min="44" max="44" width="8.88671875" style="14"/>
    <col min="45" max="16384" width="8.88671875" style="1"/>
  </cols>
  <sheetData>
    <row r="3" spans="1:55" ht="14.4" customHeight="1" x14ac:dyDescent="0.3">
      <c r="A3" s="102" t="s">
        <v>192</v>
      </c>
      <c r="B3" s="102"/>
      <c r="C3" s="102"/>
      <c r="D3" s="102"/>
      <c r="E3" s="102"/>
      <c r="K3" s="102" t="s">
        <v>105</v>
      </c>
      <c r="L3" s="102"/>
      <c r="M3" s="102"/>
      <c r="N3" s="102"/>
      <c r="P3" s="102" t="s">
        <v>191</v>
      </c>
      <c r="Q3" s="102"/>
      <c r="R3" s="102"/>
      <c r="S3" s="102"/>
      <c r="U3" s="102" t="s">
        <v>193</v>
      </c>
      <c r="V3" s="102"/>
      <c r="W3" s="102"/>
      <c r="X3" s="102"/>
      <c r="Z3" s="102" t="s">
        <v>194</v>
      </c>
      <c r="AA3" s="102"/>
      <c r="AB3" s="102"/>
      <c r="AC3" s="102"/>
      <c r="AE3" s="102" t="s">
        <v>195</v>
      </c>
      <c r="AF3" s="102"/>
      <c r="AG3" s="102"/>
      <c r="AH3" s="102"/>
      <c r="AJ3" s="102" t="s">
        <v>175</v>
      </c>
      <c r="AK3" s="102"/>
      <c r="AL3" s="102"/>
      <c r="AM3" s="102"/>
      <c r="AN3" s="102"/>
      <c r="AO3" s="102"/>
      <c r="AP3" s="102"/>
      <c r="AQ3" s="102"/>
      <c r="AR3" s="102"/>
      <c r="AS3" s="102"/>
      <c r="AT3" s="102"/>
      <c r="AU3" s="102"/>
      <c r="AV3" s="102"/>
      <c r="AW3" s="102"/>
      <c r="AX3" s="102"/>
      <c r="AY3" s="102"/>
      <c r="AZ3" s="102"/>
      <c r="BA3" s="102"/>
      <c r="BB3" s="102"/>
      <c r="BC3" s="102"/>
    </row>
    <row r="4" spans="1:55" ht="14.4" customHeight="1" thickBot="1" x14ac:dyDescent="0.35">
      <c r="A4" s="16"/>
      <c r="B4" s="101" t="s">
        <v>94</v>
      </c>
      <c r="C4" s="101"/>
      <c r="D4" s="101"/>
      <c r="E4" s="16"/>
      <c r="AK4" s="101" t="s">
        <v>167</v>
      </c>
      <c r="AL4" s="101"/>
      <c r="AM4" s="101" t="s">
        <v>170</v>
      </c>
      <c r="AN4" s="101"/>
      <c r="AO4" s="101"/>
      <c r="AP4" s="101" t="s">
        <v>172</v>
      </c>
      <c r="AQ4" s="101"/>
      <c r="AR4" s="101"/>
      <c r="AT4" s="103" t="s">
        <v>176</v>
      </c>
      <c r="AU4" s="103"/>
      <c r="AV4" s="103" t="s">
        <v>12</v>
      </c>
      <c r="AW4" s="103"/>
      <c r="AX4" s="103"/>
      <c r="AY4" s="103"/>
      <c r="AZ4" s="103"/>
      <c r="BA4" s="103" t="s">
        <v>184</v>
      </c>
      <c r="BB4" s="103"/>
      <c r="BC4" s="103"/>
    </row>
    <row r="5" spans="1:55" s="87" customFormat="1" ht="14.4" thickBot="1" x14ac:dyDescent="0.35">
      <c r="A5" s="3" t="s">
        <v>147</v>
      </c>
      <c r="B5" s="86" t="s">
        <v>148</v>
      </c>
      <c r="C5" s="3" t="s">
        <v>149</v>
      </c>
      <c r="D5" s="3" t="s">
        <v>150</v>
      </c>
      <c r="E5" s="3" t="s">
        <v>10</v>
      </c>
      <c r="G5" s="2"/>
      <c r="H5" s="88">
        <v>45930</v>
      </c>
      <c r="I5" s="88">
        <v>45961</v>
      </c>
      <c r="K5" s="3" t="s">
        <v>147</v>
      </c>
      <c r="L5" s="3" t="s">
        <v>94</v>
      </c>
      <c r="M5" s="3" t="s">
        <v>10</v>
      </c>
      <c r="N5" s="3" t="s">
        <v>12</v>
      </c>
      <c r="P5" s="3" t="s">
        <v>147</v>
      </c>
      <c r="Q5" s="3" t="s">
        <v>94</v>
      </c>
      <c r="R5" s="3" t="s">
        <v>10</v>
      </c>
      <c r="S5" s="3" t="s">
        <v>12</v>
      </c>
      <c r="U5" s="3" t="s">
        <v>147</v>
      </c>
      <c r="V5" s="3" t="s">
        <v>94</v>
      </c>
      <c r="W5" s="3" t="s">
        <v>10</v>
      </c>
      <c r="X5" s="3" t="s">
        <v>12</v>
      </c>
      <c r="Z5" s="3" t="s">
        <v>147</v>
      </c>
      <c r="AA5" s="3" t="s">
        <v>94</v>
      </c>
      <c r="AB5" s="3" t="s">
        <v>10</v>
      </c>
      <c r="AC5" s="3" t="s">
        <v>12</v>
      </c>
      <c r="AE5" s="3" t="s">
        <v>147</v>
      </c>
      <c r="AF5" s="3" t="s">
        <v>94</v>
      </c>
      <c r="AG5" s="3" t="s">
        <v>10</v>
      </c>
      <c r="AH5" s="3" t="s">
        <v>12</v>
      </c>
      <c r="AJ5" s="3" t="s">
        <v>50</v>
      </c>
      <c r="AK5" s="3" t="s">
        <v>169</v>
      </c>
      <c r="AL5" s="3" t="s">
        <v>183</v>
      </c>
      <c r="AM5" s="3" t="s">
        <v>171</v>
      </c>
      <c r="AN5" s="3" t="s">
        <v>174</v>
      </c>
      <c r="AO5" s="32" t="s">
        <v>177</v>
      </c>
      <c r="AP5" s="3" t="s">
        <v>171</v>
      </c>
      <c r="AQ5" s="3" t="s">
        <v>174</v>
      </c>
      <c r="AR5" s="32" t="s">
        <v>178</v>
      </c>
      <c r="AT5" s="3" t="s">
        <v>171</v>
      </c>
      <c r="AU5" s="3" t="s">
        <v>174</v>
      </c>
      <c r="AV5" s="3" t="s">
        <v>168</v>
      </c>
      <c r="AW5" s="3" t="s">
        <v>173</v>
      </c>
      <c r="AX5" s="3" t="s">
        <v>179</v>
      </c>
      <c r="AY5" s="3" t="s">
        <v>180</v>
      </c>
      <c r="AZ5" s="3" t="s">
        <v>182</v>
      </c>
      <c r="BA5" s="99" t="s">
        <v>185</v>
      </c>
      <c r="BB5" s="6" t="s">
        <v>186</v>
      </c>
      <c r="BC5" s="100"/>
    </row>
    <row r="6" spans="1:55" x14ac:dyDescent="0.3">
      <c r="A6" s="1" t="s">
        <v>151</v>
      </c>
      <c r="B6" s="53">
        <v>1000000</v>
      </c>
      <c r="C6" s="51">
        <f>25*H6</f>
        <v>215750</v>
      </c>
      <c r="D6" s="51">
        <f>SUM(B6:C6)</f>
        <v>1215750</v>
      </c>
      <c r="E6" s="72" cm="1">
        <f t="array" ref="E6:E8">D6:D8/D8</f>
        <v>0.93519230769230766</v>
      </c>
      <c r="G6" s="1" t="s">
        <v>153</v>
      </c>
      <c r="H6" s="53">
        <v>8630</v>
      </c>
      <c r="I6" s="89">
        <v>8651</v>
      </c>
      <c r="K6" s="1" t="s">
        <v>155</v>
      </c>
      <c r="L6" s="51">
        <f>C6</f>
        <v>215750</v>
      </c>
      <c r="M6" s="14" cm="1">
        <f t="array" ref="M6:M12">L6:L12/L12</f>
        <v>0.16596153846153847</v>
      </c>
      <c r="N6" s="24">
        <f>(25*(I7-H7)+L6*H9)/L6</f>
        <v>3.3174971031286211E-3</v>
      </c>
      <c r="P6" s="1" t="s">
        <v>155</v>
      </c>
      <c r="Q6" s="51">
        <f>H6*-25</f>
        <v>-215750</v>
      </c>
      <c r="R6" s="14" cm="1">
        <f t="array" ref="R6:R12">Q6:Q12/Q12</f>
        <v>-0.16596153846153847</v>
      </c>
      <c r="S6" s="24">
        <f>(-25*(I7-H7)+Q6*H9)/Q6</f>
        <v>3.3174971031286211E-3</v>
      </c>
      <c r="U6" s="1" t="s">
        <v>155</v>
      </c>
      <c r="V6" s="51">
        <f>25*H6</f>
        <v>215750</v>
      </c>
      <c r="W6" s="14" cm="1">
        <f t="array" ref="W6:W15">V6:V15/V15</f>
        <v>0.107875</v>
      </c>
      <c r="X6" s="14">
        <f>(25*(I7-H7)+V6*H9)/V6</f>
        <v>3.3174971031286211E-3</v>
      </c>
      <c r="Z6" s="1" t="s">
        <v>155</v>
      </c>
      <c r="AA6" s="51">
        <f>10*5*0.45*H6</f>
        <v>194175</v>
      </c>
      <c r="AB6" s="14" cm="1">
        <f t="array" ref="AB6:AB12">AA6:AA12/AA12</f>
        <v>0.14936538461538462</v>
      </c>
      <c r="AC6" s="24">
        <f>(25000-20000+-AA10*H9)/AA6</f>
        <v>2.6646967941290074E-2</v>
      </c>
      <c r="AE6" s="1" t="s">
        <v>155</v>
      </c>
      <c r="AF6" s="51">
        <f>-5*10*0.45*H6</f>
        <v>-194175</v>
      </c>
      <c r="AG6" s="14" cm="1">
        <f t="array" ref="AG6:AG12">AF6:AF12/AF12</f>
        <v>-0.14936538461538462</v>
      </c>
      <c r="AH6" s="24">
        <f>(-1*(25000-20000)-AF10*H9)/AF6</f>
        <v>2.6646967941290074E-2</v>
      </c>
      <c r="AJ6" s="1">
        <v>0</v>
      </c>
      <c r="AK6" s="53">
        <v>100</v>
      </c>
      <c r="AL6" s="95" cm="1">
        <f t="array" ref="AL6:AL12">AK6:AK12/AM6:AM12</f>
        <v>66.666666666666671</v>
      </c>
      <c r="AM6" s="91">
        <v>1.5</v>
      </c>
      <c r="AN6" s="1" cm="1">
        <f t="array" ref="AN6:AN12">AM6:AM12*((1+2%)/(1+4%))^(1/12)</f>
        <v>1.4975747020738863</v>
      </c>
      <c r="AO6" s="14" cm="1">
        <f t="array" ref="AO6:AO12">_xlfn.ANCHORARRAY(AN6)/AM6:AM12-1</f>
        <v>-1.6168652840757858E-3</v>
      </c>
      <c r="AP6" s="93" cm="1">
        <f t="array" ref="AP6:AP12">1/AM6:AM12</f>
        <v>0.66666666666666663</v>
      </c>
      <c r="AQ6" s="93" cm="1">
        <f t="array" ref="AQ6:AQ12">_xlfn.ANCHORARRAY(AP6)*((1+4%)/(1+2%))^(1/12)</f>
        <v>0.66774632251410893</v>
      </c>
      <c r="AR6" s="90" cm="1">
        <f t="array" ref="AR6:AR12">_xlfn.ANCHORARRAY(AQ6)/_xlfn.ANCHORARRAY(AP6)-1</f>
        <v>1.619483771163388E-3</v>
      </c>
      <c r="BB6" s="15" cm="1">
        <f t="array" ref="BB6:BB12">AL6:AL12+BA6:BA12</f>
        <v>66.666666666666671</v>
      </c>
    </row>
    <row r="7" spans="1:55" x14ac:dyDescent="0.3">
      <c r="A7" s="1" t="s">
        <v>152</v>
      </c>
      <c r="B7" s="53">
        <v>300000</v>
      </c>
      <c r="C7" s="51">
        <f>-C6</f>
        <v>-215750</v>
      </c>
      <c r="D7" s="51">
        <f>SUM(B7:C7)</f>
        <v>84250</v>
      </c>
      <c r="E7" s="72">
        <v>6.4807692307692302E-2</v>
      </c>
      <c r="G7" s="1" t="s">
        <v>154</v>
      </c>
      <c r="H7" s="53">
        <v>8650</v>
      </c>
      <c r="I7" s="53">
        <v>8670</v>
      </c>
      <c r="K7" s="1" t="s">
        <v>156</v>
      </c>
      <c r="L7" s="51">
        <f>B6</f>
        <v>1000000</v>
      </c>
      <c r="M7" s="14">
        <v>0.76923076923076927</v>
      </c>
      <c r="N7" s="25">
        <v>4.0000000000000001E-3</v>
      </c>
      <c r="P7" s="1" t="s">
        <v>156</v>
      </c>
      <c r="Q7" s="51">
        <f>B6</f>
        <v>1000000</v>
      </c>
      <c r="R7" s="14">
        <v>0.76923076923076927</v>
      </c>
      <c r="S7" s="25">
        <v>4.0000000000000001E-3</v>
      </c>
      <c r="U7" s="1" t="s">
        <v>156</v>
      </c>
      <c r="V7" s="51">
        <v>1000000</v>
      </c>
      <c r="W7" s="14">
        <v>0.5</v>
      </c>
      <c r="X7" s="25">
        <v>4.0000000000000001E-3</v>
      </c>
      <c r="Z7" s="1" t="s">
        <v>156</v>
      </c>
      <c r="AA7" s="51">
        <v>1000000</v>
      </c>
      <c r="AB7" s="14">
        <v>0.76923076923076927</v>
      </c>
      <c r="AC7" s="25">
        <v>4.0000000000000001E-3</v>
      </c>
      <c r="AE7" s="1" t="s">
        <v>156</v>
      </c>
      <c r="AF7" s="51">
        <v>1000000</v>
      </c>
      <c r="AG7" s="14">
        <v>0.76923076923076927</v>
      </c>
      <c r="AH7" s="25">
        <v>4.0000000000000001E-3</v>
      </c>
      <c r="AJ7" s="1">
        <v>1</v>
      </c>
      <c r="AK7" s="53">
        <v>100</v>
      </c>
      <c r="AL7" s="95">
        <v>62.5</v>
      </c>
      <c r="AM7" s="91">
        <v>1.6</v>
      </c>
      <c r="AN7" s="1">
        <v>1.5974130155454789</v>
      </c>
      <c r="AO7" s="14">
        <v>-1.6168652840757858E-3</v>
      </c>
      <c r="AP7" s="93">
        <v>0.625</v>
      </c>
      <c r="AQ7" s="93">
        <v>0.62601217735697712</v>
      </c>
      <c r="AR7" s="90">
        <v>1.619483771163388E-3</v>
      </c>
      <c r="AT7" s="14" cm="1">
        <f t="array" ref="AT7:AT12">AP7:AP12/AP6:AP11-1</f>
        <v>-6.25E-2</v>
      </c>
      <c r="AU7" s="14" cm="1">
        <f t="array" ref="AU7:AU12">AP7:AP12/AQ6:AQ11-1</f>
        <v>-6.4015811203820938E-2</v>
      </c>
      <c r="AV7" s="14" cm="1">
        <f t="array" ref="AV7:AV12">AK7:AK12/AK6:AK11-1</f>
        <v>0</v>
      </c>
      <c r="AW7" s="14" cm="1">
        <f t="array" ref="AW7:AW12">AL7:AL12/AL6:AL11-1</f>
        <v>-6.2500000000000111E-2</v>
      </c>
      <c r="AX7" s="14" cm="1">
        <f t="array" ref="AX7:AX12">(AQ6:AQ11-AP7:AP12)*AM6:AM11</f>
        <v>6.4119483771163388E-2</v>
      </c>
      <c r="AY7" s="14" cm="1">
        <f t="array" ref="AY7:AY12">AW7:AW12+_xlfn.ANCHORARRAY(AX7)</f>
        <v>1.619483771163277E-3</v>
      </c>
      <c r="AZ7" s="14" cm="1">
        <f t="array" ref="AZ7:AZ12">(1+AV7:AV12)*((1+4%)/(1+2%))^(1/12)-1</f>
        <v>1.619483771163388E-3</v>
      </c>
      <c r="BA7" s="15" cm="1">
        <f t="array" ref="BA7:BA12">_xlfn.SCAN(0,AK6:AK11*(AQ6:AQ11-AP7:AP12),_xleta.SUM)</f>
        <v>4.2746322514108925</v>
      </c>
      <c r="BB7" s="15">
        <v>66.774632251410893</v>
      </c>
      <c r="BC7" s="14" cm="1">
        <f t="array" ref="BC7:BC12">BB7:BB12/BB6:BB11-1</f>
        <v>1.619483771163388E-3</v>
      </c>
    </row>
    <row r="8" spans="1:55" x14ac:dyDescent="0.3">
      <c r="A8" s="1" t="s">
        <v>8</v>
      </c>
      <c r="B8" s="51">
        <f>SUM(B6:B7)</f>
        <v>1300000</v>
      </c>
      <c r="C8" s="51">
        <f t="shared" ref="C8:D8" si="0">SUM(C6:C7)</f>
        <v>0</v>
      </c>
      <c r="D8" s="51">
        <f t="shared" si="0"/>
        <v>1300000</v>
      </c>
      <c r="E8" s="72">
        <v>1</v>
      </c>
      <c r="K8" s="1" t="s">
        <v>157</v>
      </c>
      <c r="L8" s="51">
        <f>D6</f>
        <v>1215750</v>
      </c>
      <c r="M8" s="14">
        <v>0.93519230769230766</v>
      </c>
      <c r="N8" s="14">
        <f>SUMPRODUCT(M6:M7,N6:N7)/M8</f>
        <v>3.878881348961547E-3</v>
      </c>
      <c r="P8" s="1" t="s">
        <v>157</v>
      </c>
      <c r="Q8" s="51">
        <f>Q6+Q7</f>
        <v>784250</v>
      </c>
      <c r="R8" s="14">
        <v>0.60326923076923078</v>
      </c>
      <c r="S8" s="14">
        <f>SUMPRODUCT(R6:R7,S6:S7)/R8</f>
        <v>4.1877590054191912E-3</v>
      </c>
      <c r="U8" s="1" t="s">
        <v>157</v>
      </c>
      <c r="V8" s="51">
        <f>V6+V7</f>
        <v>1215750</v>
      </c>
      <c r="W8" s="14">
        <v>0.60787500000000005</v>
      </c>
      <c r="X8" s="14">
        <f>SUMPRODUCT(W6:W7,X6:X7)/W8</f>
        <v>3.8788813489615461E-3</v>
      </c>
      <c r="Z8" s="1" t="s">
        <v>157</v>
      </c>
      <c r="AA8" s="51">
        <f>AA6+AA7</f>
        <v>1194175</v>
      </c>
      <c r="AB8" s="14">
        <v>0.9185961538461539</v>
      </c>
      <c r="AC8" s="14">
        <f>SUMPRODUCT(AB6:AB7,AC6:AC7)/AB8</f>
        <v>7.6824376661712053E-3</v>
      </c>
      <c r="AE8" s="1" t="s">
        <v>157</v>
      </c>
      <c r="AF8" s="51">
        <f>AF6+AF7</f>
        <v>805825</v>
      </c>
      <c r="AG8" s="14">
        <v>0.61986538461538465</v>
      </c>
      <c r="AH8" s="14">
        <f>SUMPRODUCT(AG6:AG7,AH6:AH7)/AG8</f>
        <v>-1.4571091738280638E-3</v>
      </c>
      <c r="AJ8" s="1">
        <v>2</v>
      </c>
      <c r="AK8" s="53">
        <v>110</v>
      </c>
      <c r="AL8" s="95">
        <v>66.666666666666657</v>
      </c>
      <c r="AM8" s="92">
        <v>1.6500000000000001</v>
      </c>
      <c r="AN8" s="1">
        <v>1.647332172281275</v>
      </c>
      <c r="AO8" s="14">
        <v>-1.6168652840757858E-3</v>
      </c>
      <c r="AP8" s="93">
        <v>0.60606060606060597</v>
      </c>
      <c r="AQ8" s="93">
        <v>0.60704211137646258</v>
      </c>
      <c r="AR8" s="90">
        <v>1.619483771163388E-3</v>
      </c>
      <c r="AT8" s="14">
        <v>-3.0303030303030498E-2</v>
      </c>
      <c r="AU8" s="14">
        <v>-3.1870899669406816E-2</v>
      </c>
      <c r="AV8" s="14">
        <v>0.10000000000000009</v>
      </c>
      <c r="AW8" s="14">
        <v>6.666666666666643E-2</v>
      </c>
      <c r="AX8" s="14">
        <v>3.1922514074193845E-2</v>
      </c>
      <c r="AY8" s="14">
        <v>9.8589180740860274E-2</v>
      </c>
      <c r="AZ8" s="14">
        <v>0.10178143214827973</v>
      </c>
      <c r="BA8" s="15">
        <v>6.2697893810480076</v>
      </c>
      <c r="BB8" s="15">
        <v>72.936456047714671</v>
      </c>
      <c r="BC8" s="14">
        <v>9.227791435981425E-2</v>
      </c>
    </row>
    <row r="9" spans="1:55" x14ac:dyDescent="0.3">
      <c r="G9" s="1" t="s">
        <v>161</v>
      </c>
      <c r="H9" s="12">
        <v>1E-3</v>
      </c>
      <c r="K9" s="1" t="s">
        <v>158</v>
      </c>
      <c r="L9" s="51">
        <f>B7</f>
        <v>300000</v>
      </c>
      <c r="M9" s="14">
        <v>0.23076923076923078</v>
      </c>
      <c r="N9" s="14">
        <f t="array" ref="N9:N11">H9</f>
        <v>1E-3</v>
      </c>
      <c r="P9" s="1" t="s">
        <v>158</v>
      </c>
      <c r="Q9" s="51">
        <f>B7</f>
        <v>300000</v>
      </c>
      <c r="R9" s="14">
        <v>0.23076923076923078</v>
      </c>
      <c r="S9" s="14">
        <f t="array" ref="S9:S11">H9</f>
        <v>1E-3</v>
      </c>
      <c r="U9" s="1" t="s">
        <v>162</v>
      </c>
      <c r="V9" s="51">
        <f>-5*10*H11</f>
        <v>-207150</v>
      </c>
      <c r="W9" s="14">
        <v>-0.103575</v>
      </c>
      <c r="X9" s="14">
        <f>(-50*(I12-H12)+V9*H9)/V9</f>
        <v>3.6722906106685972E-2</v>
      </c>
      <c r="Z9" s="1" t="s">
        <v>158</v>
      </c>
      <c r="AA9" s="51">
        <f>300000-20000</f>
        <v>280000</v>
      </c>
      <c r="AB9" s="14">
        <v>0.2153846153846154</v>
      </c>
      <c r="AC9" s="14">
        <f t="array" ref="AC9:AC11">H9</f>
        <v>1E-3</v>
      </c>
      <c r="AE9" s="1" t="s">
        <v>158</v>
      </c>
      <c r="AF9" s="51">
        <f>300000+20000</f>
        <v>320000</v>
      </c>
      <c r="AG9" s="14">
        <v>0.24615384615384617</v>
      </c>
      <c r="AH9" s="14">
        <f t="array" ref="AH9:AH11">H9</f>
        <v>1E-3</v>
      </c>
      <c r="AJ9" s="1">
        <v>3</v>
      </c>
      <c r="AK9" s="53">
        <v>115</v>
      </c>
      <c r="AL9" s="95">
        <v>82.142857142857139</v>
      </c>
      <c r="AM9" s="91">
        <v>1.4000000000000001</v>
      </c>
      <c r="AN9" s="1">
        <v>1.397736388602294</v>
      </c>
      <c r="AO9" s="14">
        <v>-1.6168652840757858E-3</v>
      </c>
      <c r="AP9" s="93">
        <v>0.71428571428571419</v>
      </c>
      <c r="AQ9" s="93">
        <v>0.71544248840797375</v>
      </c>
      <c r="AR9" s="90">
        <v>1.619483771163388E-3</v>
      </c>
      <c r="AT9" s="14">
        <v>0.1785714285714286</v>
      </c>
      <c r="AU9" s="14">
        <v>0.17666583734376795</v>
      </c>
      <c r="AV9" s="14">
        <v>4.5454545454545414E-2</v>
      </c>
      <c r="AW9" s="14">
        <v>0.23214285714285721</v>
      </c>
      <c r="AX9" s="14">
        <v>-0.17695194480026519</v>
      </c>
      <c r="AY9" s="14">
        <v>5.5190912342592019E-2</v>
      </c>
      <c r="AZ9" s="14">
        <v>4.7147642124398148E-2</v>
      </c>
      <c r="BA9" s="15">
        <v>-5.5270069389696692</v>
      </c>
      <c r="BB9" s="15">
        <v>76.615850203887476</v>
      </c>
      <c r="BC9" s="14">
        <v>5.0446571653629091E-2</v>
      </c>
    </row>
    <row r="10" spans="1:55" x14ac:dyDescent="0.3">
      <c r="K10" s="1" t="s">
        <v>159</v>
      </c>
      <c r="L10" s="51">
        <f>C7</f>
        <v>-215750</v>
      </c>
      <c r="M10" s="14">
        <v>-0.16596153846153847</v>
      </c>
      <c r="N10" s="14">
        <v>1E-3</v>
      </c>
      <c r="P10" s="1" t="s">
        <v>159</v>
      </c>
      <c r="Q10" s="51">
        <f>-Q6</f>
        <v>215750</v>
      </c>
      <c r="R10" s="14">
        <v>0.16596153846153847</v>
      </c>
      <c r="S10" s="14">
        <v>1E-3</v>
      </c>
      <c r="U10" s="1" t="s">
        <v>163</v>
      </c>
      <c r="V10" s="51">
        <v>1000000</v>
      </c>
      <c r="W10" s="14">
        <v>0.5</v>
      </c>
      <c r="X10" s="25">
        <v>0.04</v>
      </c>
      <c r="Z10" s="1" t="s">
        <v>159</v>
      </c>
      <c r="AA10" s="52">
        <f>-AA6+20000</f>
        <v>-174175</v>
      </c>
      <c r="AB10" s="14">
        <v>-0.13398076923076924</v>
      </c>
      <c r="AC10" s="14">
        <v>1E-3</v>
      </c>
      <c r="AE10" s="1" t="s">
        <v>159</v>
      </c>
      <c r="AF10" s="52">
        <f>-AF6-20000</f>
        <v>174175</v>
      </c>
      <c r="AG10" s="14">
        <v>0.13398076923076924</v>
      </c>
      <c r="AH10" s="14">
        <v>1E-3</v>
      </c>
      <c r="AJ10" s="1">
        <v>4</v>
      </c>
      <c r="AK10" s="53">
        <v>105</v>
      </c>
      <c r="AL10" s="95">
        <v>80.769230769230759</v>
      </c>
      <c r="AM10" s="91">
        <v>1.3</v>
      </c>
      <c r="AN10" s="1">
        <v>1.2978980751307014</v>
      </c>
      <c r="AO10" s="14">
        <v>-1.6168652840758968E-3</v>
      </c>
      <c r="AP10" s="93">
        <v>0.76923076923076916</v>
      </c>
      <c r="AQ10" s="93">
        <v>0.77047652597781791</v>
      </c>
      <c r="AR10" s="90">
        <v>1.619483771163388E-3</v>
      </c>
      <c r="AT10" s="14">
        <v>7.6923076923076872E-2</v>
      </c>
      <c r="AU10" s="14">
        <v>7.5181837386380179E-2</v>
      </c>
      <c r="AV10" s="14">
        <v>-8.6956521739130488E-2</v>
      </c>
      <c r="AW10" s="14">
        <v>-1.6722408026755953E-2</v>
      </c>
      <c r="AX10" s="14">
        <v>-7.5303593151913581E-2</v>
      </c>
      <c r="AY10" s="14">
        <v>-9.2026001178669534E-2</v>
      </c>
      <c r="AZ10" s="14">
        <v>-8.5477862643720481E-2</v>
      </c>
      <c r="BA10" s="15">
        <v>-11.712659233591141</v>
      </c>
      <c r="BB10" s="15">
        <v>69.05657153563962</v>
      </c>
      <c r="BC10" s="14">
        <v>-9.8664684241333345E-2</v>
      </c>
    </row>
    <row r="11" spans="1:55" x14ac:dyDescent="0.3">
      <c r="G11" s="1" t="s">
        <v>165</v>
      </c>
      <c r="H11" s="53">
        <v>4143</v>
      </c>
      <c r="I11" s="89">
        <v>4300</v>
      </c>
      <c r="K11" s="1" t="s">
        <v>160</v>
      </c>
      <c r="L11" s="51">
        <f>D7</f>
        <v>84250</v>
      </c>
      <c r="M11" s="14">
        <v>6.4807692307692302E-2</v>
      </c>
      <c r="N11" s="14">
        <v>1E-3</v>
      </c>
      <c r="P11" s="1" t="s">
        <v>160</v>
      </c>
      <c r="Q11" s="51">
        <f>Q9+Q10</f>
        <v>515750</v>
      </c>
      <c r="R11" s="14">
        <v>0.39673076923076922</v>
      </c>
      <c r="S11" s="14">
        <v>1E-3</v>
      </c>
      <c r="U11" s="1" t="s">
        <v>164</v>
      </c>
      <c r="V11" s="51">
        <f>V9+V10</f>
        <v>792850</v>
      </c>
      <c r="W11" s="14">
        <v>0.39642500000000003</v>
      </c>
      <c r="X11" s="14">
        <f>SUMPRODUCT(W9:W10,X9:X10)/W11</f>
        <v>4.0856214920855144E-2</v>
      </c>
      <c r="Z11" s="1" t="s">
        <v>160</v>
      </c>
      <c r="AA11" s="51">
        <f>AA9+AA10</f>
        <v>105825</v>
      </c>
      <c r="AB11" s="14">
        <v>8.140384615384616E-2</v>
      </c>
      <c r="AC11" s="14">
        <v>1E-3</v>
      </c>
      <c r="AE11" s="1" t="s">
        <v>160</v>
      </c>
      <c r="AF11" s="51">
        <f>AF9+AF10</f>
        <v>494175</v>
      </c>
      <c r="AG11" s="14">
        <v>0.3801346153846154</v>
      </c>
      <c r="AH11" s="14">
        <v>1E-3</v>
      </c>
      <c r="AJ11" s="1">
        <v>5</v>
      </c>
      <c r="AK11" s="53">
        <v>95</v>
      </c>
      <c r="AL11" s="95">
        <v>67.857142857142847</v>
      </c>
      <c r="AM11" s="91">
        <v>1.4000000000000001</v>
      </c>
      <c r="AN11" s="1">
        <v>1.397736388602294</v>
      </c>
      <c r="AO11" s="14">
        <v>-1.6168652840757858E-3</v>
      </c>
      <c r="AP11" s="93">
        <v>0.71428571428571419</v>
      </c>
      <c r="AQ11" s="93">
        <v>0.71544248840797375</v>
      </c>
      <c r="AR11" s="90">
        <v>1.619483771163388E-3</v>
      </c>
      <c r="AT11" s="14">
        <v>-7.1428571428571508E-2</v>
      </c>
      <c r="AU11" s="14">
        <v>-7.2929946335213103E-2</v>
      </c>
      <c r="AV11" s="14">
        <v>-9.5238095238095233E-2</v>
      </c>
      <c r="AW11" s="14">
        <v>-0.15986394557823136</v>
      </c>
      <c r="AX11" s="14">
        <v>7.3048055199734827E-2</v>
      </c>
      <c r="AY11" s="14">
        <v>-8.6815890378496532E-2</v>
      </c>
      <c r="AZ11" s="14">
        <v>-9.377284801656649E-2</v>
      </c>
      <c r="BA11" s="15">
        <v>-5.8126240059202514</v>
      </c>
      <c r="BB11" s="15">
        <v>62.044518851222598</v>
      </c>
      <c r="BC11" s="14">
        <v>-0.10154070102941837</v>
      </c>
    </row>
    <row r="12" spans="1:55" x14ac:dyDescent="0.3">
      <c r="G12" s="1" t="s">
        <v>166</v>
      </c>
      <c r="H12" s="53">
        <v>4134</v>
      </c>
      <c r="I12" s="53">
        <v>4282</v>
      </c>
      <c r="K12" s="1" t="s">
        <v>8</v>
      </c>
      <c r="L12" s="51">
        <f>L8+L11</f>
        <v>1300000</v>
      </c>
      <c r="M12" s="14">
        <v>1</v>
      </c>
      <c r="N12" s="14">
        <f>M8*N8+M11*N11</f>
        <v>3.6923076923076927E-3</v>
      </c>
      <c r="P12" s="1" t="s">
        <v>8</v>
      </c>
      <c r="Q12" s="51">
        <f>Q8+Q11</f>
        <v>1300000</v>
      </c>
      <c r="R12" s="14">
        <v>1</v>
      </c>
      <c r="S12" s="14">
        <f>R8*S8+R11*S11</f>
        <v>2.9230769230769241E-3</v>
      </c>
      <c r="U12" s="1" t="s">
        <v>158</v>
      </c>
      <c r="V12" s="51">
        <v>0</v>
      </c>
      <c r="W12" s="14">
        <v>0</v>
      </c>
      <c r="X12" s="14">
        <f t="array" ref="X12:X14">H9</f>
        <v>1E-3</v>
      </c>
      <c r="Z12" s="1" t="s">
        <v>8</v>
      </c>
      <c r="AA12" s="51">
        <f>AA8+AA11</f>
        <v>1300000</v>
      </c>
      <c r="AB12" s="14">
        <v>1</v>
      </c>
      <c r="AC12" s="14">
        <f>AB8*AC8+AB11*AC11</f>
        <v>7.1384615384615388E-3</v>
      </c>
      <c r="AE12" s="1" t="s">
        <v>8</v>
      </c>
      <c r="AF12" s="51">
        <f>AF8+AF11</f>
        <v>1300000</v>
      </c>
      <c r="AG12" s="14">
        <v>1</v>
      </c>
      <c r="AH12" s="14">
        <f>AG8*AH8+AG11*AH11</f>
        <v>-5.2307692307692266E-4</v>
      </c>
      <c r="AJ12" s="1">
        <v>6</v>
      </c>
      <c r="AK12" s="53">
        <v>90</v>
      </c>
      <c r="AL12" s="95">
        <v>64.285714285714278</v>
      </c>
      <c r="AM12" s="91">
        <v>1.4000000000000001</v>
      </c>
      <c r="AN12" s="1">
        <v>1.397736388602294</v>
      </c>
      <c r="AO12" s="14">
        <v>-1.6168652840757858E-3</v>
      </c>
      <c r="AP12" s="93">
        <v>0.71428571428571419</v>
      </c>
      <c r="AQ12" s="93">
        <v>0.71544248840797375</v>
      </c>
      <c r="AR12" s="90">
        <v>1.619483771163388E-3</v>
      </c>
      <c r="AT12" s="14">
        <v>0</v>
      </c>
      <c r="AU12" s="14">
        <v>-1.6168652840756748E-3</v>
      </c>
      <c r="AV12" s="14">
        <v>-5.2631578947368474E-2</v>
      </c>
      <c r="AW12" s="14">
        <v>-5.2631578947368363E-2</v>
      </c>
      <c r="AX12" s="14">
        <v>1.6194837711633883E-3</v>
      </c>
      <c r="AY12" s="14">
        <v>-5.1012095176204975E-2</v>
      </c>
      <c r="AZ12" s="14">
        <v>-5.1097331164161042E-2</v>
      </c>
      <c r="BA12" s="15">
        <v>-5.7027304643055929</v>
      </c>
      <c r="BB12" s="15">
        <v>58.582983821408682</v>
      </c>
      <c r="BC12" s="14">
        <v>-5.5791149547220753E-2</v>
      </c>
    </row>
    <row r="13" spans="1:55" x14ac:dyDescent="0.3">
      <c r="U13" s="1" t="s">
        <v>159</v>
      </c>
      <c r="V13" s="51">
        <f>-V6-V9</f>
        <v>-8600</v>
      </c>
      <c r="W13" s="14">
        <v>-4.3E-3</v>
      </c>
      <c r="X13" s="14">
        <v>1E-3</v>
      </c>
      <c r="AS13" s="16" t="s">
        <v>8</v>
      </c>
      <c r="AT13" s="24">
        <f>FVSCHEDULE(1,AT7:AT12)-1</f>
        <v>7.1428571428571175E-2</v>
      </c>
      <c r="AU13" s="24">
        <f>FVSCHEDULE(1,AU7:AU12)-1</f>
        <v>6.1076361778879651E-2</v>
      </c>
      <c r="AV13" s="24">
        <f>FVSCHEDULE(1,AV7:AV12)-1</f>
        <v>-9.9999999999999978E-2</v>
      </c>
      <c r="AW13" s="24">
        <f>FVSCHEDULE(1,AW7:AW12)-1</f>
        <v>-3.5714285714286143E-2</v>
      </c>
      <c r="AX13" s="94" t="s">
        <v>181</v>
      </c>
      <c r="AY13" s="24">
        <f>FVSCHEDULE(1,AY7:AY12)-1</f>
        <v>-8.6388497382057339E-2</v>
      </c>
      <c r="AZ13" s="24">
        <f>FVSCHEDULE(1,AZ7:AZ12)-1</f>
        <v>-9.121930426467828E-2</v>
      </c>
      <c r="BC13" s="24">
        <f>FVSCHEDULE(1,BC7:BC12)-1</f>
        <v>-0.12125524267886956</v>
      </c>
    </row>
    <row r="14" spans="1:55" x14ac:dyDescent="0.3">
      <c r="U14" s="1" t="s">
        <v>160</v>
      </c>
      <c r="V14" s="51">
        <f>V12+V13</f>
        <v>-8600</v>
      </c>
      <c r="W14" s="14">
        <v>-4.3E-3</v>
      </c>
      <c r="X14" s="14">
        <v>1E-3</v>
      </c>
    </row>
    <row r="15" spans="1:55" x14ac:dyDescent="0.3">
      <c r="U15" s="1" t="s">
        <v>8</v>
      </c>
      <c r="V15" s="51">
        <f>V8+V11+V14</f>
        <v>2000000</v>
      </c>
      <c r="W15" s="14">
        <v>1</v>
      </c>
      <c r="X15" s="14">
        <f>W8*X8+W11*X11+W14*X14</f>
        <v>1.8550000000000001E-2</v>
      </c>
      <c r="AT15" s="14" cm="1">
        <f t="array" ref="AT15:AT20">AM7:AM12/AM6:AM11-1</f>
        <v>6.6666666666666652E-2</v>
      </c>
      <c r="AU15" s="14" cm="1">
        <f t="array" ref="AU15:AU20">AM7:AM12/AN6:AN11-1</f>
        <v>6.8394116022574503E-2</v>
      </c>
    </row>
    <row r="16" spans="1:55" x14ac:dyDescent="0.3">
      <c r="AT16" s="14">
        <v>3.125E-2</v>
      </c>
      <c r="AU16" s="14">
        <v>3.2920092639012299E-2</v>
      </c>
    </row>
    <row r="17" spans="46:47" x14ac:dyDescent="0.3">
      <c r="AT17" s="14">
        <v>-0.15151515151515149</v>
      </c>
      <c r="AU17" s="14">
        <v>-0.15014104407295215</v>
      </c>
    </row>
    <row r="18" spans="46:47" x14ac:dyDescent="0.3">
      <c r="AT18" s="14">
        <v>-7.1428571428571508E-2</v>
      </c>
      <c r="AU18" s="14">
        <v>-6.9924765069633965E-2</v>
      </c>
    </row>
    <row r="19" spans="46:47" x14ac:dyDescent="0.3">
      <c r="AT19" s="14">
        <v>7.6923076923077094E-2</v>
      </c>
      <c r="AU19" s="14">
        <v>7.8667136368945512E-2</v>
      </c>
    </row>
    <row r="20" spans="46:47" x14ac:dyDescent="0.3">
      <c r="AT20" s="14">
        <v>0</v>
      </c>
      <c r="AU20" s="14">
        <v>1.6194837711636101E-3</v>
      </c>
    </row>
  </sheetData>
  <mergeCells count="14">
    <mergeCell ref="B4:D4"/>
    <mergeCell ref="A3:E3"/>
    <mergeCell ref="K3:N3"/>
    <mergeCell ref="AM4:AO4"/>
    <mergeCell ref="AV4:AZ4"/>
    <mergeCell ref="AK4:AL4"/>
    <mergeCell ref="AJ3:BC3"/>
    <mergeCell ref="P3:S3"/>
    <mergeCell ref="U3:X3"/>
    <mergeCell ref="Z3:AC3"/>
    <mergeCell ref="AE3:AH3"/>
    <mergeCell ref="AT4:AU4"/>
    <mergeCell ref="AP4:AR4"/>
    <mergeCell ref="BA4:B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B0978-76AD-4949-969A-8C69EDDE888F}">
  <dimension ref="A1:BV21"/>
  <sheetViews>
    <sheetView tabSelected="1" topLeftCell="AK1" workbookViewId="0">
      <selection activeCell="AZ13" sqref="AZ13"/>
    </sheetView>
  </sheetViews>
  <sheetFormatPr defaultRowHeight="13.8" x14ac:dyDescent="0.3"/>
  <cols>
    <col min="1" max="1" width="12.88671875" style="1" bestFit="1" customWidth="1"/>
    <col min="2" max="2" width="16.6640625" style="51" bestFit="1" customWidth="1"/>
    <col min="3" max="3" width="5.21875" style="1" bestFit="1" customWidth="1"/>
    <col min="4" max="4" width="9.109375" style="51" bestFit="1" customWidth="1"/>
    <col min="5" max="5" width="8.44140625" style="1" bestFit="1" customWidth="1"/>
    <col min="6" max="6" width="6.33203125" style="1" bestFit="1" customWidth="1"/>
    <col min="7" max="7" width="8.88671875" style="1"/>
    <col min="8" max="8" width="11.5546875" style="1" bestFit="1" customWidth="1"/>
    <col min="9" max="9" width="7.77734375" style="1" bestFit="1" customWidth="1"/>
    <col min="10" max="10" width="9.88671875" style="1" bestFit="1" customWidth="1"/>
    <col min="11" max="11" width="7.77734375" style="1" bestFit="1" customWidth="1"/>
    <col min="12" max="12" width="9.88671875" style="1" bestFit="1" customWidth="1"/>
    <col min="13" max="13" width="8.88671875" style="1"/>
    <col min="14" max="14" width="8.44140625" style="1" bestFit="1" customWidth="1"/>
    <col min="15" max="15" width="8.88671875" style="1"/>
    <col min="16" max="16" width="13.21875" style="1" bestFit="1" customWidth="1"/>
    <col min="17" max="17" width="16.6640625" style="1" bestFit="1" customWidth="1"/>
    <col min="18" max="18" width="5.21875" style="1" bestFit="1" customWidth="1"/>
    <col min="19" max="19" width="8.88671875" style="1"/>
    <col min="20" max="20" width="8.44140625" style="1" bestFit="1" customWidth="1"/>
    <col min="21" max="21" width="6.33203125" style="1" bestFit="1" customWidth="1"/>
    <col min="22" max="22" width="8.88671875" style="1"/>
    <col min="23" max="23" width="11.5546875" style="1" bestFit="1" customWidth="1"/>
    <col min="24" max="24" width="7.77734375" style="1" bestFit="1" customWidth="1"/>
    <col min="25" max="25" width="9.88671875" style="1" bestFit="1" customWidth="1"/>
    <col min="26" max="26" width="7.77734375" style="1" bestFit="1" customWidth="1"/>
    <col min="27" max="27" width="9.88671875" style="1" bestFit="1" customWidth="1"/>
    <col min="28" max="28" width="8.88671875" style="1"/>
    <col min="29" max="29" width="8.44140625" style="1" bestFit="1" customWidth="1"/>
    <col min="30" max="30" width="8.88671875" style="1"/>
    <col min="31" max="31" width="13.21875" style="1" bestFit="1" customWidth="1"/>
    <col min="32" max="32" width="16.6640625" style="1" bestFit="1" customWidth="1"/>
    <col min="33" max="33" width="5.21875" style="1" bestFit="1" customWidth="1"/>
    <col min="34" max="34" width="8.88671875" style="1"/>
    <col min="35" max="35" width="8.44140625" style="1" bestFit="1" customWidth="1"/>
    <col min="36" max="36" width="6.88671875" style="1" bestFit="1" customWidth="1"/>
    <col min="37" max="37" width="8.88671875" style="1"/>
    <col min="38" max="38" width="11.5546875" style="1" bestFit="1" customWidth="1"/>
    <col min="39" max="39" width="7.77734375" style="1" bestFit="1" customWidth="1"/>
    <col min="40" max="40" width="9.88671875" style="1" bestFit="1" customWidth="1"/>
    <col min="41" max="41" width="7.77734375" style="1" bestFit="1" customWidth="1"/>
    <col min="42" max="42" width="9.88671875" style="1" bestFit="1" customWidth="1"/>
    <col min="43" max="43" width="8.88671875" style="1"/>
    <col min="44" max="44" width="8.44140625" style="1" bestFit="1" customWidth="1"/>
    <col min="45" max="45" width="8.88671875" style="1"/>
    <col min="46" max="46" width="22.109375" style="1" bestFit="1" customWidth="1"/>
    <col min="47" max="47" width="7.77734375" style="1" bestFit="1" customWidth="1"/>
    <col min="48" max="48" width="9.88671875" style="1" bestFit="1" customWidth="1"/>
    <col min="49" max="49" width="7.77734375" style="1" bestFit="1" customWidth="1"/>
    <col min="50" max="50" width="9.88671875" style="1" bestFit="1" customWidth="1"/>
    <col min="51" max="52" width="12.109375" style="1" customWidth="1"/>
    <col min="53" max="53" width="8.88671875" style="1"/>
    <col min="54" max="54" width="4.88671875" style="1" bestFit="1" customWidth="1"/>
    <col min="55" max="58" width="8.88671875" style="1"/>
    <col min="59" max="59" width="15.21875" style="1" bestFit="1" customWidth="1"/>
    <col min="60" max="60" width="7.77734375" style="17" bestFit="1" customWidth="1"/>
    <col min="61" max="61" width="9.88671875" style="17" bestFit="1" customWidth="1"/>
    <col min="62" max="62" width="7.77734375" style="17" bestFit="1" customWidth="1"/>
    <col min="63" max="63" width="9.88671875" style="17" bestFit="1" customWidth="1"/>
    <col min="64" max="64" width="7.88671875" style="1" bestFit="1" customWidth="1"/>
    <col min="65" max="65" width="9.88671875" style="1" bestFit="1" customWidth="1"/>
    <col min="66" max="69" width="8.88671875" style="1"/>
    <col min="70" max="70" width="12.77734375" style="1" bestFit="1" customWidth="1"/>
    <col min="71" max="71" width="8.44140625" style="14" bestFit="1" customWidth="1"/>
    <col min="72" max="72" width="9.33203125" style="1" bestFit="1" customWidth="1"/>
    <col min="73" max="73" width="13.88671875" style="1" bestFit="1" customWidth="1"/>
    <col min="74" max="74" width="9.33203125" style="1" bestFit="1" customWidth="1"/>
    <col min="75" max="16384" width="8.88671875" style="1"/>
  </cols>
  <sheetData>
    <row r="1" spans="1:74" s="16" customFormat="1" x14ac:dyDescent="0.3">
      <c r="A1" s="107" t="s">
        <v>106</v>
      </c>
      <c r="B1" s="107"/>
      <c r="C1" s="107"/>
      <c r="D1" s="107"/>
      <c r="E1" s="107"/>
      <c r="F1" s="107"/>
      <c r="BH1" s="22"/>
      <c r="BI1" s="22"/>
      <c r="BJ1" s="22"/>
      <c r="BK1" s="22"/>
      <c r="BS1" s="24"/>
    </row>
    <row r="2" spans="1:74" s="16" customFormat="1" x14ac:dyDescent="0.3">
      <c r="B2" s="52"/>
      <c r="D2" s="52"/>
      <c r="BH2" s="22"/>
      <c r="BI2" s="22"/>
      <c r="BJ2" s="22"/>
      <c r="BK2" s="22"/>
      <c r="BS2" s="24"/>
    </row>
    <row r="3" spans="1:74" s="27" customFormat="1" ht="14.4" customHeight="1" x14ac:dyDescent="0.3">
      <c r="A3" s="102" t="s">
        <v>103</v>
      </c>
      <c r="B3" s="102"/>
      <c r="C3" s="102"/>
      <c r="D3" s="102"/>
      <c r="E3" s="102"/>
      <c r="F3" s="102"/>
      <c r="I3" s="102" t="s">
        <v>105</v>
      </c>
      <c r="J3" s="102"/>
      <c r="K3" s="102"/>
      <c r="L3" s="102"/>
      <c r="M3" s="102"/>
      <c r="N3" s="102"/>
      <c r="P3" s="102" t="s">
        <v>109</v>
      </c>
      <c r="Q3" s="102"/>
      <c r="R3" s="102"/>
      <c r="S3" s="102"/>
      <c r="T3" s="102"/>
      <c r="U3" s="102"/>
      <c r="X3" s="102" t="s">
        <v>110</v>
      </c>
      <c r="Y3" s="102"/>
      <c r="Z3" s="102"/>
      <c r="AA3" s="102"/>
      <c r="AB3" s="102"/>
      <c r="AC3" s="102"/>
      <c r="AE3" s="102" t="s">
        <v>109</v>
      </c>
      <c r="AF3" s="102"/>
      <c r="AG3" s="102"/>
      <c r="AH3" s="102"/>
      <c r="AI3" s="102"/>
      <c r="AJ3" s="102"/>
      <c r="AM3" s="102" t="s">
        <v>110</v>
      </c>
      <c r="AN3" s="102"/>
      <c r="AO3" s="102"/>
      <c r="AP3" s="102"/>
      <c r="AQ3" s="102"/>
      <c r="AR3" s="102"/>
      <c r="AT3" s="102" t="s">
        <v>113</v>
      </c>
      <c r="AU3" s="102"/>
      <c r="AV3" s="102"/>
      <c r="AW3" s="102"/>
      <c r="AX3" s="102"/>
      <c r="AY3" s="102"/>
      <c r="AZ3" s="102"/>
      <c r="BG3" s="102" t="s">
        <v>125</v>
      </c>
      <c r="BH3" s="102"/>
      <c r="BI3" s="102"/>
      <c r="BJ3" s="102"/>
      <c r="BK3" s="102"/>
      <c r="BL3" s="102"/>
      <c r="BM3" s="102"/>
      <c r="BS3" s="77"/>
    </row>
    <row r="4" spans="1:74" s="16" customFormat="1" ht="15" customHeight="1" thickBot="1" x14ac:dyDescent="0.35">
      <c r="B4" s="52"/>
      <c r="D4" s="52"/>
      <c r="I4" s="103" t="s">
        <v>9</v>
      </c>
      <c r="J4" s="103"/>
      <c r="K4" s="103" t="s">
        <v>12</v>
      </c>
      <c r="L4" s="103"/>
      <c r="Q4" s="52"/>
      <c r="S4" s="52"/>
      <c r="X4" s="103" t="s">
        <v>9</v>
      </c>
      <c r="Y4" s="103"/>
      <c r="Z4" s="103" t="s">
        <v>12</v>
      </c>
      <c r="AA4" s="103"/>
      <c r="AF4" s="52"/>
      <c r="AH4" s="52"/>
      <c r="AM4" s="103" t="s">
        <v>9</v>
      </c>
      <c r="AN4" s="103"/>
      <c r="AO4" s="103" t="s">
        <v>12</v>
      </c>
      <c r="AP4" s="103"/>
      <c r="AU4" s="103" t="s">
        <v>9</v>
      </c>
      <c r="AV4" s="103"/>
      <c r="AW4" s="103" t="s">
        <v>127</v>
      </c>
      <c r="AX4" s="103"/>
      <c r="AY4" s="105" t="s">
        <v>120</v>
      </c>
      <c r="AZ4" s="105" t="s">
        <v>121</v>
      </c>
      <c r="BH4" s="104" t="s">
        <v>9</v>
      </c>
      <c r="BI4" s="104"/>
      <c r="BJ4" s="104" t="s">
        <v>127</v>
      </c>
      <c r="BK4" s="104"/>
      <c r="BL4" s="104" t="s">
        <v>128</v>
      </c>
      <c r="BM4" s="104"/>
      <c r="BN4" s="105" t="s">
        <v>121</v>
      </c>
      <c r="BO4" s="71" t="s">
        <v>122</v>
      </c>
      <c r="BP4" s="5" t="s">
        <v>11</v>
      </c>
      <c r="BS4" s="24"/>
    </row>
    <row r="5" spans="1:74" s="16" customFormat="1" ht="28.2" thickBot="1" x14ac:dyDescent="0.35">
      <c r="A5" s="54" t="s">
        <v>92</v>
      </c>
      <c r="B5" s="55" t="s">
        <v>102</v>
      </c>
      <c r="C5" s="54" t="s">
        <v>100</v>
      </c>
      <c r="D5" s="55" t="s">
        <v>93</v>
      </c>
      <c r="E5" s="54" t="s">
        <v>94</v>
      </c>
      <c r="F5" s="54" t="s">
        <v>12</v>
      </c>
      <c r="I5" s="54" t="s">
        <v>10</v>
      </c>
      <c r="J5" s="54" t="s">
        <v>11</v>
      </c>
      <c r="K5" s="54" t="s">
        <v>10</v>
      </c>
      <c r="L5" s="54" t="s">
        <v>11</v>
      </c>
      <c r="M5" s="54" t="s">
        <v>107</v>
      </c>
      <c r="N5" s="54" t="s">
        <v>108</v>
      </c>
      <c r="P5" s="54" t="s">
        <v>92</v>
      </c>
      <c r="Q5" s="55" t="s">
        <v>102</v>
      </c>
      <c r="R5" s="54" t="s">
        <v>100</v>
      </c>
      <c r="S5" s="55" t="s">
        <v>93</v>
      </c>
      <c r="T5" s="54" t="s">
        <v>94</v>
      </c>
      <c r="U5" s="54" t="s">
        <v>12</v>
      </c>
      <c r="X5" s="54" t="s">
        <v>10</v>
      </c>
      <c r="Y5" s="54" t="s">
        <v>11</v>
      </c>
      <c r="Z5" s="54" t="s">
        <v>10</v>
      </c>
      <c r="AA5" s="54" t="s">
        <v>11</v>
      </c>
      <c r="AB5" s="54" t="s">
        <v>107</v>
      </c>
      <c r="AC5" s="54" t="s">
        <v>108</v>
      </c>
      <c r="AE5" s="54" t="s">
        <v>92</v>
      </c>
      <c r="AF5" s="55" t="s">
        <v>102</v>
      </c>
      <c r="AG5" s="54" t="s">
        <v>100</v>
      </c>
      <c r="AH5" s="55" t="s">
        <v>93</v>
      </c>
      <c r="AI5" s="54" t="s">
        <v>94</v>
      </c>
      <c r="AJ5" s="54" t="s">
        <v>12</v>
      </c>
      <c r="AM5" s="54" t="s">
        <v>10</v>
      </c>
      <c r="AN5" s="54" t="s">
        <v>11</v>
      </c>
      <c r="AO5" s="54" t="s">
        <v>10</v>
      </c>
      <c r="AP5" s="54" t="s">
        <v>11</v>
      </c>
      <c r="AQ5" s="54" t="s">
        <v>107</v>
      </c>
      <c r="AR5" s="54" t="s">
        <v>108</v>
      </c>
      <c r="AU5" s="54" t="s">
        <v>10</v>
      </c>
      <c r="AV5" s="54" t="s">
        <v>11</v>
      </c>
      <c r="AW5" s="54" t="s">
        <v>10</v>
      </c>
      <c r="AX5" s="54" t="s">
        <v>11</v>
      </c>
      <c r="AY5" s="106"/>
      <c r="AZ5" s="106"/>
      <c r="BC5" s="54" t="s">
        <v>107</v>
      </c>
      <c r="BD5" s="54" t="s">
        <v>108</v>
      </c>
      <c r="BE5" s="54" t="s">
        <v>122</v>
      </c>
      <c r="BH5" s="76" t="s">
        <v>10</v>
      </c>
      <c r="BI5" s="76" t="s">
        <v>11</v>
      </c>
      <c r="BJ5" s="76" t="s">
        <v>10</v>
      </c>
      <c r="BK5" s="76" t="s">
        <v>11</v>
      </c>
      <c r="BL5" s="76" t="s">
        <v>10</v>
      </c>
      <c r="BM5" s="76" t="s">
        <v>11</v>
      </c>
      <c r="BN5" s="106"/>
      <c r="BO5" s="71" t="s">
        <v>144</v>
      </c>
      <c r="BP5" s="71" t="s">
        <v>145</v>
      </c>
      <c r="BQ5" s="85"/>
      <c r="BS5" s="24" t="s">
        <v>140</v>
      </c>
      <c r="BV5" s="16" t="s">
        <v>142</v>
      </c>
    </row>
    <row r="6" spans="1:74" x14ac:dyDescent="0.3">
      <c r="A6" s="1" t="s">
        <v>95</v>
      </c>
      <c r="D6" s="53">
        <v>300000</v>
      </c>
      <c r="E6" s="17" cm="1">
        <f t="array" ref="E6:E13">D6:D13/D13</f>
        <v>0.3</v>
      </c>
      <c r="F6" s="8">
        <v>0.02</v>
      </c>
      <c r="H6" s="1" t="s">
        <v>101</v>
      </c>
      <c r="I6" s="60">
        <f>E9</f>
        <v>0.8</v>
      </c>
      <c r="J6" s="60">
        <v>0.6</v>
      </c>
      <c r="K6" s="33">
        <f>F9</f>
        <v>2.0500000000000001E-2</v>
      </c>
      <c r="L6" s="67">
        <f>F6</f>
        <v>0.02</v>
      </c>
      <c r="M6" s="64" cm="1">
        <f t="array" ref="M6:M7">(I6:I7-J6:J7)*(L6:L7-L8)</f>
        <v>1.5200000000000007E-3</v>
      </c>
      <c r="N6" s="14" cm="1">
        <f t="array" ref="N6:N7">I6:I7*(K6:K7-L6:L7)</f>
        <v>4.000000000000004E-4</v>
      </c>
      <c r="P6" s="1" t="s">
        <v>95</v>
      </c>
      <c r="Q6" s="51"/>
      <c r="S6" s="53">
        <v>600000</v>
      </c>
      <c r="T6" s="17" cm="1">
        <f t="array" ref="T6:T13">S6:S13/S13</f>
        <v>0.6</v>
      </c>
      <c r="U6" s="8">
        <v>0.02</v>
      </c>
      <c r="W6" s="1" t="s">
        <v>101</v>
      </c>
      <c r="X6" s="60">
        <f>T9</f>
        <v>0.1</v>
      </c>
      <c r="Y6" s="60">
        <v>0.6</v>
      </c>
      <c r="Z6" s="67">
        <f>U9</f>
        <v>1.5999999999999983E-2</v>
      </c>
      <c r="AA6" s="67">
        <f>U6</f>
        <v>0.02</v>
      </c>
      <c r="AB6" s="33" cm="1">
        <f t="array" ref="AB6:AB7">(X6:X7-Y6:Y7)*(AA6:AA7-AA8)</f>
        <v>-3.8000000000000004E-3</v>
      </c>
      <c r="AC6" s="14" cm="1">
        <f t="array" ref="AC6:AC7">X6:X7*(Z6:Z7-AA6:AA7)</f>
        <v>-4.0000000000000175E-4</v>
      </c>
      <c r="AE6" s="1" t="s">
        <v>95</v>
      </c>
      <c r="AF6" s="51"/>
      <c r="AH6" s="53">
        <v>600000</v>
      </c>
      <c r="AI6" s="17" cm="1">
        <f t="array" ref="AI6:AI13">AH6:AH13/AH13</f>
        <v>0.6</v>
      </c>
      <c r="AJ6" s="8">
        <v>0.02</v>
      </c>
      <c r="AL6" s="1" t="s">
        <v>101</v>
      </c>
      <c r="AM6" s="60">
        <f>AI9</f>
        <v>0.1</v>
      </c>
      <c r="AN6" s="60">
        <v>0.6</v>
      </c>
      <c r="AO6" s="67">
        <f>AJ9</f>
        <v>1.3999999999999985E-2</v>
      </c>
      <c r="AP6" s="67">
        <f>AJ6</f>
        <v>0.02</v>
      </c>
      <c r="AQ6" s="33" cm="1">
        <f t="array" ref="AQ6:AQ7">(AM6:AM7-AN6:AN7)*(AP6:AP7-AP8)</f>
        <v>-3.8000000000000004E-3</v>
      </c>
      <c r="AR6" s="14" cm="1">
        <f t="array" ref="AR6:AR7">AM6:AM7*(AO6:AO7-AP6:AP7)</f>
        <v>-6.0000000000000157E-4</v>
      </c>
      <c r="AT6" s="1" t="s">
        <v>114</v>
      </c>
      <c r="AU6" s="73">
        <v>0.4</v>
      </c>
      <c r="AV6" s="73">
        <v>0.4</v>
      </c>
      <c r="AW6" s="62">
        <v>0.12</v>
      </c>
      <c r="AX6" s="62">
        <v>0.1</v>
      </c>
      <c r="AY6" s="62">
        <v>0.01</v>
      </c>
      <c r="AZ6" s="73">
        <v>0</v>
      </c>
      <c r="BC6" s="14">
        <f>SUMPRODUCT(AU6-AV6,AX6-AY6-AX$17)</f>
        <v>0</v>
      </c>
      <c r="BD6" s="14">
        <f>AU6*(AW6-AX6)</f>
        <v>7.9999999999999967E-3</v>
      </c>
      <c r="BE6" s="74">
        <f>(AU6+AU9-AV6-AV9)*(AZ6+AY6-AX$18)</f>
        <v>1.2500000000000011E-3</v>
      </c>
      <c r="BG6" s="1" t="s">
        <v>114</v>
      </c>
      <c r="BH6" s="73">
        <v>0.4</v>
      </c>
      <c r="BI6" s="73">
        <v>0.4</v>
      </c>
      <c r="BJ6" s="73">
        <v>0.12</v>
      </c>
      <c r="BK6" s="73">
        <v>0.1</v>
      </c>
      <c r="BL6" s="81">
        <f t="shared" ref="BL6:BM8" si="0">(1+BJ6)*(1+$BN6)-1</f>
        <v>0.12000000000000011</v>
      </c>
      <c r="BM6" s="81">
        <f t="shared" si="0"/>
        <v>0.10000000000000009</v>
      </c>
      <c r="BN6" s="73">
        <v>0</v>
      </c>
      <c r="BO6" s="73">
        <v>0</v>
      </c>
      <c r="BP6" s="14" cm="1">
        <f t="array" ref="BP6:BP8">(1+BM6:BM8)/(1+BO6:BO8)-1</f>
        <v>0.10000000000000009</v>
      </c>
      <c r="BR6" s="1" t="s">
        <v>132</v>
      </c>
      <c r="BS6" s="78">
        <f>(1+BJ12)/(1+BK15)-1</f>
        <v>1.0638297872340274E-2</v>
      </c>
      <c r="BU6" s="1" t="s">
        <v>132</v>
      </c>
      <c r="BV6" s="82" cm="1">
        <f t="array" ref="BV6:BV7">BS6:BS7</f>
        <v>1.0638297872340274E-2</v>
      </c>
    </row>
    <row r="7" spans="1:74" x14ac:dyDescent="0.3">
      <c r="A7" s="68" t="s">
        <v>96</v>
      </c>
      <c r="B7" s="53">
        <v>1000000</v>
      </c>
      <c r="C7" s="68">
        <v>0.5</v>
      </c>
      <c r="D7" s="53">
        <v>100000</v>
      </c>
      <c r="E7" s="17">
        <v>0.1</v>
      </c>
      <c r="F7" s="8">
        <v>0.1</v>
      </c>
      <c r="H7" s="1" t="s">
        <v>98</v>
      </c>
      <c r="I7" s="60">
        <f>E12</f>
        <v>0.2</v>
      </c>
      <c r="J7" s="60">
        <v>0.4</v>
      </c>
      <c r="K7" s="67">
        <f>F12</f>
        <v>9.9999999999999959E-4</v>
      </c>
      <c r="L7" s="67">
        <f>F10</f>
        <v>1E-3</v>
      </c>
      <c r="M7" s="64">
        <v>2.2800000000000003E-3</v>
      </c>
      <c r="N7" s="14">
        <v>-8.673617379884036E-20</v>
      </c>
      <c r="P7" s="68" t="s">
        <v>111</v>
      </c>
      <c r="Q7" s="53">
        <v>1000000</v>
      </c>
      <c r="R7" s="68">
        <v>-0.5</v>
      </c>
      <c r="S7" s="53">
        <v>-100000</v>
      </c>
      <c r="T7" s="17">
        <v>-0.1</v>
      </c>
      <c r="U7" s="8">
        <v>0.1</v>
      </c>
      <c r="W7" s="1" t="s">
        <v>98</v>
      </c>
      <c r="X7" s="60">
        <f>T12</f>
        <v>0.9</v>
      </c>
      <c r="Y7" s="60">
        <v>0.4</v>
      </c>
      <c r="Z7" s="67">
        <f>U12</f>
        <v>1E-3</v>
      </c>
      <c r="AA7" s="67">
        <f>U10</f>
        <v>1E-3</v>
      </c>
      <c r="AB7" s="33">
        <v>-5.7000000000000002E-3</v>
      </c>
      <c r="AC7" s="14">
        <v>0</v>
      </c>
      <c r="AE7" s="68" t="s">
        <v>112</v>
      </c>
      <c r="AF7" s="53">
        <v>2000000</v>
      </c>
      <c r="AG7" s="69">
        <v>-0.25</v>
      </c>
      <c r="AH7" s="53">
        <v>100000</v>
      </c>
      <c r="AI7" s="17">
        <v>0.1</v>
      </c>
      <c r="AJ7" s="70">
        <v>-0.1</v>
      </c>
      <c r="AL7" s="1" t="s">
        <v>98</v>
      </c>
      <c r="AM7" s="60">
        <f>AI12</f>
        <v>0.9</v>
      </c>
      <c r="AN7" s="60">
        <v>0.4</v>
      </c>
      <c r="AO7" s="67">
        <f>AJ12</f>
        <v>1E-3</v>
      </c>
      <c r="AP7" s="67">
        <f>AJ10</f>
        <v>1E-3</v>
      </c>
      <c r="AQ7" s="33">
        <v>-5.7000000000000002E-3</v>
      </c>
      <c r="AR7" s="14">
        <v>0</v>
      </c>
      <c r="AT7" s="1" t="s">
        <v>115</v>
      </c>
      <c r="AU7" s="73">
        <v>0.3</v>
      </c>
      <c r="AV7" s="73">
        <v>0.2</v>
      </c>
      <c r="AW7" s="62">
        <v>0.04</v>
      </c>
      <c r="AX7" s="62">
        <v>0.06</v>
      </c>
      <c r="AY7" s="62">
        <v>0.02</v>
      </c>
      <c r="AZ7" s="73">
        <v>0.05</v>
      </c>
      <c r="BC7" s="14">
        <f>SUMPRODUCT(AU7-AV7,AX7-AY7-AX$17)</f>
        <v>1.3999999999999985E-3</v>
      </c>
      <c r="BD7" s="14">
        <f t="shared" ref="BD7:BD8" si="1">AU7*(AW7-AX7)</f>
        <v>-5.9999999999999993E-3</v>
      </c>
      <c r="BE7" s="74">
        <f>(AU7+AU10-AV7-AV10)*(AZ7+AY7-AX$18)</f>
        <v>1.7499999999999998E-3</v>
      </c>
      <c r="BG7" s="1" t="s">
        <v>126</v>
      </c>
      <c r="BH7" s="73">
        <v>0.3</v>
      </c>
      <c r="BI7" s="73">
        <v>0.2</v>
      </c>
      <c r="BJ7" s="73">
        <v>-7.0000000000000007E-2</v>
      </c>
      <c r="BK7" s="73">
        <v>-0.08</v>
      </c>
      <c r="BL7" s="81">
        <f t="shared" si="0"/>
        <v>2.2999999999999909E-2</v>
      </c>
      <c r="BM7" s="81">
        <f t="shared" si="0"/>
        <v>1.2000000000000233E-2</v>
      </c>
      <c r="BN7" s="62">
        <v>0.1</v>
      </c>
      <c r="BO7" s="62">
        <v>8.9099999999999999E-2</v>
      </c>
      <c r="BP7" s="14">
        <v>-7.0792397392341999E-2</v>
      </c>
      <c r="BR7" s="1" t="s">
        <v>107</v>
      </c>
      <c r="BS7" s="78">
        <f>(1+BK15)/(1+BK12)-1</f>
        <v>-1.3358778625954248E-2</v>
      </c>
      <c r="BU7" s="1" t="s">
        <v>107</v>
      </c>
      <c r="BV7" s="83">
        <v>-1.3358778625954248E-2</v>
      </c>
    </row>
    <row r="8" spans="1:74" ht="14.4" thickBot="1" x14ac:dyDescent="0.35">
      <c r="A8" s="1" t="s">
        <v>99</v>
      </c>
      <c r="D8" s="56">
        <f>B7*C7-D7</f>
        <v>400000</v>
      </c>
      <c r="E8" s="58">
        <v>0.4</v>
      </c>
      <c r="F8" s="61">
        <v>1E-3</v>
      </c>
      <c r="H8" s="1" t="s">
        <v>101</v>
      </c>
      <c r="I8" s="60">
        <f>E13</f>
        <v>1</v>
      </c>
      <c r="J8" s="60">
        <f>SUM(J6:J7)</f>
        <v>1</v>
      </c>
      <c r="K8" s="33">
        <f>F13</f>
        <v>1.66E-2</v>
      </c>
      <c r="L8" s="14">
        <f>SUMPRODUCT(J6:J7,L6:L7)</f>
        <v>1.24E-2</v>
      </c>
      <c r="M8" s="33">
        <f>SUM(_xlfn.ANCHORARRAY(M6))</f>
        <v>3.8000000000000013E-3</v>
      </c>
      <c r="N8" s="33">
        <f>SUM(_xlfn.ANCHORARRAY(N6))</f>
        <v>4.0000000000000029E-4</v>
      </c>
      <c r="P8" s="1" t="s">
        <v>99</v>
      </c>
      <c r="Q8" s="51"/>
      <c r="S8" s="56">
        <f>Q7*R7-S7</f>
        <v>-400000</v>
      </c>
      <c r="T8" s="58">
        <v>-0.4</v>
      </c>
      <c r="U8" s="61">
        <v>1E-3</v>
      </c>
      <c r="W8" s="1" t="s">
        <v>101</v>
      </c>
      <c r="X8" s="60">
        <f>T13</f>
        <v>1</v>
      </c>
      <c r="Y8" s="60">
        <f>SUM(Y6:Y7)</f>
        <v>1</v>
      </c>
      <c r="Z8" s="33">
        <f>U13</f>
        <v>2.4999999999999983E-3</v>
      </c>
      <c r="AA8" s="14">
        <f>SUMPRODUCT(Y6:Y7,AA6:AA7)</f>
        <v>1.24E-2</v>
      </c>
      <c r="AB8" s="33">
        <f>SUM(_xlfn.ANCHORARRAY(AB6))</f>
        <v>-9.5000000000000015E-3</v>
      </c>
      <c r="AC8" s="33">
        <f>SUM(_xlfn.ANCHORARRAY(AC6))</f>
        <v>-4.0000000000000175E-4</v>
      </c>
      <c r="AE8" s="1" t="s">
        <v>99</v>
      </c>
      <c r="AF8" s="51"/>
      <c r="AH8" s="56">
        <f>AF7*AG7-AH7</f>
        <v>-600000</v>
      </c>
      <c r="AI8" s="58">
        <v>-0.6</v>
      </c>
      <c r="AJ8" s="61">
        <v>1E-3</v>
      </c>
      <c r="AL8" s="1" t="s">
        <v>101</v>
      </c>
      <c r="AM8" s="60">
        <f>AI13</f>
        <v>1</v>
      </c>
      <c r="AN8" s="60">
        <f>SUM(AN6:AN7)</f>
        <v>1</v>
      </c>
      <c r="AO8" s="33">
        <f>AJ13</f>
        <v>2.2999999999999987E-3</v>
      </c>
      <c r="AP8" s="14">
        <f>SUMPRODUCT(AN6:AN7,AP6:AP7)</f>
        <v>1.24E-2</v>
      </c>
      <c r="AQ8" s="33">
        <f>SUM(_xlfn.ANCHORARRAY(AQ6))</f>
        <v>-9.5000000000000015E-3</v>
      </c>
      <c r="AR8" s="33">
        <f>SUM(_xlfn.ANCHORARRAY(AR6))</f>
        <v>-6.0000000000000157E-4</v>
      </c>
      <c r="AT8" s="1" t="s">
        <v>116</v>
      </c>
      <c r="AU8" s="73">
        <v>0.3</v>
      </c>
      <c r="AV8" s="73">
        <v>0.4</v>
      </c>
      <c r="AW8" s="62">
        <v>-0.06</v>
      </c>
      <c r="AX8" s="62">
        <v>-0.04</v>
      </c>
      <c r="AY8" s="62">
        <v>5.0000000000000001E-3</v>
      </c>
      <c r="AZ8" s="73">
        <v>0.1</v>
      </c>
      <c r="BC8" s="14">
        <f>SUMPRODUCT(AU8-AV8,AX8-AY8-AX$17)</f>
        <v>7.100000000000003E-3</v>
      </c>
      <c r="BD8" s="14">
        <f t="shared" si="1"/>
        <v>-5.9999999999999993E-3</v>
      </c>
      <c r="BE8" s="74">
        <f>(AU8+AU11-AV8-AV11)*(AZ8+AY8-AX$18)</f>
        <v>-1.9428902930940241E-18</v>
      </c>
      <c r="BG8" s="1" t="s">
        <v>116</v>
      </c>
      <c r="BH8" s="73">
        <v>0.3</v>
      </c>
      <c r="BI8" s="73">
        <v>0.4</v>
      </c>
      <c r="BJ8" s="73">
        <v>0.06</v>
      </c>
      <c r="BK8" s="73">
        <v>0.06</v>
      </c>
      <c r="BL8" s="81">
        <f t="shared" si="0"/>
        <v>6.9999999999998952E-3</v>
      </c>
      <c r="BM8" s="81">
        <f t="shared" si="0"/>
        <v>6.9999999999998952E-3</v>
      </c>
      <c r="BN8" s="62">
        <v>-0.05</v>
      </c>
      <c r="BO8" s="62">
        <v>-5.4699999999999999E-2</v>
      </c>
      <c r="BP8" s="14">
        <v>6.5270284565746239E-2</v>
      </c>
      <c r="BU8" s="1" t="s">
        <v>143</v>
      </c>
      <c r="BV8" s="67">
        <f>(1+BL18)/(1+BM18)-1</f>
        <v>1.4999999999999902E-2</v>
      </c>
    </row>
    <row r="9" spans="1:74" ht="14.4" thickBot="1" x14ac:dyDescent="0.35">
      <c r="A9" s="1" t="s">
        <v>101</v>
      </c>
      <c r="D9" s="51">
        <f>SUM(D6:D8)</f>
        <v>800000</v>
      </c>
      <c r="E9" s="17">
        <v>0.8</v>
      </c>
      <c r="F9" s="33">
        <f>SUMPRODUCT(E6:E8,F6:F8)/E9</f>
        <v>2.0500000000000001E-2</v>
      </c>
      <c r="P9" s="1" t="s">
        <v>101</v>
      </c>
      <c r="Q9" s="51"/>
      <c r="S9" s="51">
        <f>SUM(S6:S8)</f>
        <v>100000</v>
      </c>
      <c r="T9" s="17">
        <v>0.1</v>
      </c>
      <c r="U9" s="33">
        <f>SUMPRODUCT(T6:T8,U6:U8)/T9</f>
        <v>1.5999999999999983E-2</v>
      </c>
      <c r="AE9" s="1" t="s">
        <v>101</v>
      </c>
      <c r="AF9" s="51"/>
      <c r="AH9" s="51">
        <f>SUM(AH6:AH8)</f>
        <v>100000</v>
      </c>
      <c r="AI9" s="17">
        <v>0.1</v>
      </c>
      <c r="AJ9" s="33">
        <f>SUMPRODUCT(AI6:AI8,AJ6:AJ8)/AI9</f>
        <v>1.3999999999999985E-2</v>
      </c>
      <c r="AT9" s="1" t="s">
        <v>117</v>
      </c>
      <c r="AU9" s="17">
        <f>-SUM(AU10:AU11)</f>
        <v>0.25</v>
      </c>
      <c r="AV9" s="17">
        <f>-SUM(AV10:AV11)</f>
        <v>0.30000000000000004</v>
      </c>
      <c r="BC9" s="14"/>
      <c r="BD9" s="14"/>
      <c r="BE9" s="14"/>
      <c r="BG9" s="16" t="s">
        <v>8</v>
      </c>
      <c r="BK9" s="22" t="s">
        <v>16</v>
      </c>
      <c r="BL9" s="80">
        <f>(1+BL12)/(1+BM12)-1</f>
        <v>1.1289705319555976E-2</v>
      </c>
      <c r="BU9" s="1" t="s">
        <v>141</v>
      </c>
      <c r="BV9" s="84">
        <f>(1+BL15)/(1+BL18)*(1+BM18)/(1+BM15)-1</f>
        <v>-7.9514349362930226E-4</v>
      </c>
    </row>
    <row r="10" spans="1:74" x14ac:dyDescent="0.3">
      <c r="A10" s="1" t="s">
        <v>97</v>
      </c>
      <c r="D10" s="53">
        <v>600000</v>
      </c>
      <c r="E10" s="17">
        <v>0.6</v>
      </c>
      <c r="F10" s="62">
        <v>1E-3</v>
      </c>
      <c r="P10" s="1" t="s">
        <v>97</v>
      </c>
      <c r="Q10" s="51"/>
      <c r="S10" s="53">
        <v>500000</v>
      </c>
      <c r="T10" s="17">
        <v>0.5</v>
      </c>
      <c r="U10" s="62">
        <v>1E-3</v>
      </c>
      <c r="AE10" s="1" t="s">
        <v>97</v>
      </c>
      <c r="AF10" s="51"/>
      <c r="AH10" s="53">
        <v>300000</v>
      </c>
      <c r="AI10" s="17">
        <v>0.3</v>
      </c>
      <c r="AJ10" s="62">
        <v>1E-3</v>
      </c>
      <c r="AT10" s="1" t="s">
        <v>118</v>
      </c>
      <c r="AU10" s="73">
        <v>-0.15</v>
      </c>
      <c r="AV10" s="73">
        <v>-0.1</v>
      </c>
      <c r="BC10" s="14"/>
      <c r="BD10" s="14"/>
      <c r="BE10" s="14"/>
      <c r="BR10" s="1" t="s">
        <v>137</v>
      </c>
      <c r="BS10" s="78">
        <f>(1+BL15)/(1+BM15)-1</f>
        <v>1.419292935396621E-2</v>
      </c>
      <c r="BU10" s="1" t="s">
        <v>137</v>
      </c>
      <c r="BV10" s="78">
        <f>FVSCHEDULE(1,BV8:BV9)-1</f>
        <v>1.419292935396621E-2</v>
      </c>
    </row>
    <row r="11" spans="1:74" ht="14.4" thickBot="1" x14ac:dyDescent="0.35">
      <c r="A11" s="1" t="s">
        <v>99</v>
      </c>
      <c r="D11" s="56">
        <f>-D8</f>
        <v>-400000</v>
      </c>
      <c r="E11" s="58">
        <v>-0.4</v>
      </c>
      <c r="F11" s="63">
        <v>1E-3</v>
      </c>
      <c r="P11" s="1" t="s">
        <v>99</v>
      </c>
      <c r="Q11" s="51"/>
      <c r="S11" s="56">
        <f>-S8</f>
        <v>400000</v>
      </c>
      <c r="T11" s="58">
        <v>0.4</v>
      </c>
      <c r="U11" s="63">
        <v>1E-3</v>
      </c>
      <c r="AE11" s="1" t="s">
        <v>99</v>
      </c>
      <c r="AF11" s="51"/>
      <c r="AH11" s="56">
        <f>-AH8</f>
        <v>600000</v>
      </c>
      <c r="AI11" s="58">
        <v>0.6</v>
      </c>
      <c r="AJ11" s="63">
        <v>1E-3</v>
      </c>
      <c r="AT11" s="1" t="s">
        <v>119</v>
      </c>
      <c r="AU11" s="73">
        <v>-0.1</v>
      </c>
      <c r="AV11" s="73">
        <v>-0.2</v>
      </c>
      <c r="BC11" s="14"/>
      <c r="BD11" s="14"/>
      <c r="BE11" s="14"/>
      <c r="BJ11" s="17" t="s">
        <v>129</v>
      </c>
      <c r="BK11" s="17" t="s">
        <v>130</v>
      </c>
      <c r="BL11" s="1" t="s">
        <v>135</v>
      </c>
      <c r="BM11" s="1" t="s">
        <v>136</v>
      </c>
    </row>
    <row r="12" spans="1:74" ht="14.4" thickBot="1" x14ac:dyDescent="0.35">
      <c r="A12" s="1" t="s">
        <v>98</v>
      </c>
      <c r="D12" s="57">
        <f>SUM(D10:D11)</f>
        <v>200000</v>
      </c>
      <c r="E12" s="59">
        <v>0.2</v>
      </c>
      <c r="F12" s="65">
        <f>SUMPRODUCT(E10:E11,F10:F11)/E12</f>
        <v>9.9999999999999959E-4</v>
      </c>
      <c r="P12" s="1" t="s">
        <v>98</v>
      </c>
      <c r="Q12" s="51"/>
      <c r="S12" s="57">
        <f>SUM(S10:S11)</f>
        <v>900000</v>
      </c>
      <c r="T12" s="59">
        <v>0.9</v>
      </c>
      <c r="U12" s="65">
        <f>SUMPRODUCT(T10:T11,U10:U11)/T12</f>
        <v>1E-3</v>
      </c>
      <c r="AE12" s="1" t="s">
        <v>98</v>
      </c>
      <c r="AF12" s="51"/>
      <c r="AH12" s="57">
        <f>SUM(AH10:AH11)</f>
        <v>900000</v>
      </c>
      <c r="AI12" s="59">
        <v>0.9</v>
      </c>
      <c r="AJ12" s="65">
        <f>SUMPRODUCT(AI10:AI11,AJ10:AJ11)/AI12</f>
        <v>1E-3</v>
      </c>
      <c r="AZ12" s="16"/>
      <c r="BJ12" s="72">
        <f>SUMPRODUCT(BH6:BH8,BJ6:BJ8)</f>
        <v>4.4999999999999998E-2</v>
      </c>
      <c r="BK12" s="72">
        <f>SUMPRODUCT(BI6:BI8,BK6:BK8)</f>
        <v>4.8000000000000008E-2</v>
      </c>
      <c r="BL12" s="72">
        <f>SUMPRODUCT(BH6:BH8,BL6:BL8)</f>
        <v>5.6999999999999988E-2</v>
      </c>
      <c r="BM12" s="14">
        <f>SUMPRODUCT(BI6:BI8,BM6:BM8)</f>
        <v>4.5200000000000039E-2</v>
      </c>
      <c r="BS12" s="80">
        <f>FVSCHEDULE(1,BS6:BS10)-1</f>
        <v>1.1289705319555754E-2</v>
      </c>
      <c r="BV12" s="80">
        <f>FVSCHEDULE(1,BV6:BV9)-1</f>
        <v>1.1289705319555754E-2</v>
      </c>
    </row>
    <row r="13" spans="1:74" ht="14.4" thickBot="1" x14ac:dyDescent="0.35">
      <c r="A13" s="1" t="s">
        <v>8</v>
      </c>
      <c r="D13" s="51">
        <f>SUM(D9,D12)</f>
        <v>1000000</v>
      </c>
      <c r="E13" s="17">
        <v>1</v>
      </c>
      <c r="F13" s="33">
        <f>E9*F9+E12*F12</f>
        <v>1.66E-2</v>
      </c>
      <c r="P13" s="1" t="s">
        <v>8</v>
      </c>
      <c r="Q13" s="51"/>
      <c r="S13" s="51">
        <f>SUM(S9,S12)</f>
        <v>1000000</v>
      </c>
      <c r="T13" s="17">
        <v>1</v>
      </c>
      <c r="U13" s="33">
        <f>T9*U9+T12*U12</f>
        <v>2.4999999999999983E-3</v>
      </c>
      <c r="AE13" s="1" t="s">
        <v>8</v>
      </c>
      <c r="AF13" s="51"/>
      <c r="AH13" s="51">
        <f>SUM(AH9,AH12)</f>
        <v>1000000</v>
      </c>
      <c r="AI13" s="17">
        <v>1</v>
      </c>
      <c r="AJ13" s="33">
        <f>AI9*AJ9+AI12*AJ12</f>
        <v>2.2999999999999987E-3</v>
      </c>
      <c r="AW13" s="103" t="s">
        <v>196</v>
      </c>
      <c r="AX13" s="103"/>
    </row>
    <row r="14" spans="1:74" ht="14.4" thickBot="1" x14ac:dyDescent="0.35">
      <c r="AW14" s="54" t="s">
        <v>10</v>
      </c>
      <c r="AX14" s="54" t="s">
        <v>11</v>
      </c>
      <c r="BK14" s="17" t="s">
        <v>131</v>
      </c>
      <c r="BL14" s="1" t="s">
        <v>133</v>
      </c>
      <c r="BM14" s="1" t="s">
        <v>134</v>
      </c>
    </row>
    <row r="15" spans="1:74" x14ac:dyDescent="0.3">
      <c r="AT15" s="16" t="s">
        <v>8</v>
      </c>
      <c r="AU15" s="22"/>
      <c r="AV15" s="22"/>
      <c r="AW15" s="24" cm="1">
        <f t="array" ref="AW15">SUMPRODUCT(AU6:AU8,AW6:AW8-$AY6:$AY8)+SUMPRODUCT(AU6:AU8+AU9:AU11,$AZ6:$AZ8+$AY6:$AY8)</f>
        <v>6.8500000000000005E-2</v>
      </c>
      <c r="AX15" s="24" cm="1">
        <f t="array" ref="AX15">SUMPRODUCT(AV6:AV8,AX6:AX8-$AY6:$AY8)+SUMPRODUCT(AV6:AV8+AV9:AV11,$AZ6:$AZ8+$AY6:$AY8)</f>
        <v>6.1000000000000013E-2</v>
      </c>
      <c r="AY15" s="16"/>
      <c r="BB15" s="16" t="s">
        <v>8</v>
      </c>
      <c r="BC15" s="24" cm="1">
        <f t="array" ref="BC15:BE15">_xlfn.BYCOL(BC6:BE8,_xleta.SUM)</f>
        <v>8.5000000000000006E-3</v>
      </c>
      <c r="BD15" s="75">
        <v>-4.0000000000000018E-3</v>
      </c>
      <c r="BE15" s="75">
        <v>2.9999999999999992E-3</v>
      </c>
      <c r="BK15" s="72">
        <f>SUMPRODUCT(BH6:BH8,BK6:BK8)</f>
        <v>3.4000000000000002E-2</v>
      </c>
      <c r="BL15" s="79">
        <f>(1+BL12)/(1+BJ12)-1</f>
        <v>1.1483253588516762E-2</v>
      </c>
      <c r="BM15" s="79">
        <f>(1+BM12)/(1+BK12)-1</f>
        <v>-2.6717557251907387E-3</v>
      </c>
    </row>
    <row r="17" spans="46:65" x14ac:dyDescent="0.3">
      <c r="AT17" s="1" t="s">
        <v>123</v>
      </c>
      <c r="AX17" s="72" cm="1">
        <f t="array" ref="AX17">SUMPRODUCT(AV6:AV8,AX6:AX8-AY6:AY8)</f>
        <v>2.6000000000000006E-2</v>
      </c>
      <c r="BL17" s="1" t="s">
        <v>138</v>
      </c>
      <c r="BM17" s="1" t="s">
        <v>139</v>
      </c>
    </row>
    <row r="18" spans="46:65" x14ac:dyDescent="0.3">
      <c r="AT18" s="1" t="s">
        <v>124</v>
      </c>
      <c r="AX18" s="72" cm="1">
        <f t="array" ref="AX18">SUMPRODUCT(AV6:AV8+AV9:AV11,AY6:AY8+AZ6:AZ8)</f>
        <v>3.5000000000000003E-2</v>
      </c>
      <c r="BL18" s="72">
        <f>SUMPRODUCT(BH6:BH8,$BN6:$BN8)</f>
        <v>1.4999999999999999E-2</v>
      </c>
      <c r="BM18" s="72">
        <f>SUMPRODUCT(BI6:BI8,$BN6:$BN8)</f>
        <v>0</v>
      </c>
    </row>
    <row r="20" spans="46:65" x14ac:dyDescent="0.3">
      <c r="BL20" s="1" t="s">
        <v>146</v>
      </c>
    </row>
    <row r="21" spans="46:65" x14ac:dyDescent="0.3">
      <c r="BL21" s="33" cm="1">
        <f t="array" ref="BL21">SUMPRODUCT(BI6:BI8*BN6:BN8)+SUMPRODUCT(BH6:BH8-BI6:BI8,BO6:BO8)</f>
        <v>1.438E-2</v>
      </c>
    </row>
  </sheetData>
  <mergeCells count="24">
    <mergeCell ref="AW13:AX13"/>
    <mergeCell ref="P3:U3"/>
    <mergeCell ref="AU4:AV4"/>
    <mergeCell ref="AW4:AX4"/>
    <mergeCell ref="AY4:AY5"/>
    <mergeCell ref="AZ4:AZ5"/>
    <mergeCell ref="AT3:AZ3"/>
    <mergeCell ref="X3:AC3"/>
    <mergeCell ref="X4:Y4"/>
    <mergeCell ref="Z4:AA4"/>
    <mergeCell ref="AE3:AJ3"/>
    <mergeCell ref="AM3:AR3"/>
    <mergeCell ref="AM4:AN4"/>
    <mergeCell ref="AO4:AP4"/>
    <mergeCell ref="A3:F3"/>
    <mergeCell ref="A1:F1"/>
    <mergeCell ref="I4:J4"/>
    <mergeCell ref="K4:L4"/>
    <mergeCell ref="I3:N3"/>
    <mergeCell ref="BG3:BM3"/>
    <mergeCell ref="BH4:BI4"/>
    <mergeCell ref="BJ4:BK4"/>
    <mergeCell ref="BL4:BM4"/>
    <mergeCell ref="BN4:BN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2BF49-FE1B-4160-A766-CE0F833F361B}">
  <dimension ref="A1:EK21"/>
  <sheetViews>
    <sheetView workbookViewId="0">
      <pane xSplit="1" ySplit="6" topLeftCell="DB7" activePane="bottomRight" state="frozen"/>
      <selection pane="topRight" activeCell="B1" sqref="B1"/>
      <selection pane="bottomLeft" activeCell="A5" sqref="A5"/>
      <selection pane="bottomRight" activeCell="DH7" sqref="DH7"/>
    </sheetView>
  </sheetViews>
  <sheetFormatPr defaultRowHeight="13.8" x14ac:dyDescent="0.3"/>
  <cols>
    <col min="1" max="1" width="23" style="1" bestFit="1" customWidth="1"/>
    <col min="2" max="2" width="10.33203125" style="1" bestFit="1" customWidth="1"/>
    <col min="3" max="3" width="7.21875" style="1" bestFit="1" customWidth="1"/>
    <col min="4" max="4" width="8.6640625" style="1" bestFit="1" customWidth="1"/>
    <col min="5" max="5" width="4.109375" style="1" bestFit="1" customWidth="1"/>
    <col min="6" max="6" width="6.33203125" style="1" bestFit="1" customWidth="1"/>
    <col min="7" max="7" width="7.77734375" style="1" bestFit="1" customWidth="1"/>
    <col min="8" max="8" width="8.88671875" style="1" bestFit="1" customWidth="1"/>
    <col min="9" max="9" width="5.88671875" style="1" bestFit="1" customWidth="1"/>
    <col min="10" max="10" width="6.44140625" style="1" bestFit="1" customWidth="1"/>
    <col min="11" max="11" width="5.88671875" style="1" bestFit="1" customWidth="1"/>
    <col min="12" max="12" width="7" style="1" bestFit="1" customWidth="1"/>
    <col min="13" max="13" width="7.21875" style="1" bestFit="1" customWidth="1"/>
    <col min="14" max="14" width="6.44140625" style="1" bestFit="1" customWidth="1"/>
    <col min="15" max="15" width="7" style="1" bestFit="1" customWidth="1"/>
    <col min="16" max="16" width="6.44140625" style="1" bestFit="1" customWidth="1"/>
    <col min="17" max="17" width="8.88671875" style="1"/>
    <col min="18" max="18" width="6.44140625" style="1" bestFit="1" customWidth="1"/>
    <col min="19" max="19" width="7.77734375" style="1" bestFit="1" customWidth="1"/>
    <col min="20" max="20" width="8.88671875" style="1" bestFit="1" customWidth="1"/>
    <col min="21" max="21" width="6.5546875" style="1" bestFit="1" customWidth="1"/>
    <col min="22" max="22" width="6.44140625" style="1" bestFit="1" customWidth="1"/>
    <col min="23" max="23" width="7.77734375" style="1" bestFit="1" customWidth="1"/>
    <col min="24" max="24" width="8.88671875" style="1" bestFit="1" customWidth="1"/>
    <col min="25" max="25" width="6.5546875" style="1" bestFit="1" customWidth="1"/>
    <col min="26" max="26" width="8.88671875" style="1"/>
    <col min="27" max="27" width="10.33203125" style="1" bestFit="1" customWidth="1"/>
    <col min="28" max="28" width="5.21875" style="1" bestFit="1" customWidth="1"/>
    <col min="29" max="29" width="4.44140625" style="1" bestFit="1" customWidth="1"/>
    <col min="30" max="30" width="4.77734375" style="1" bestFit="1" customWidth="1"/>
    <col min="31" max="31" width="5.44140625" style="1" bestFit="1" customWidth="1"/>
    <col min="32" max="32" width="5.21875" style="1" bestFit="1" customWidth="1"/>
    <col min="33" max="33" width="4.5546875" style="1" bestFit="1" customWidth="1"/>
    <col min="34" max="34" width="4.77734375" style="1" bestFit="1" customWidth="1"/>
    <col min="35" max="35" width="7" style="1" bestFit="1" customWidth="1"/>
    <col min="36" max="36" width="5.21875" style="1" bestFit="1" customWidth="1"/>
    <col min="37" max="37" width="4.5546875" style="1" bestFit="1" customWidth="1"/>
    <col min="38" max="38" width="5.5546875" style="1" bestFit="1" customWidth="1"/>
    <col min="39" max="39" width="4.88671875" style="1" bestFit="1" customWidth="1"/>
    <col min="40" max="40" width="8.88671875" style="1"/>
    <col min="41" max="41" width="10.33203125" style="1" bestFit="1" customWidth="1"/>
    <col min="42" max="49" width="6.5546875" style="1" bestFit="1" customWidth="1"/>
    <col min="50" max="51" width="8.88671875" style="1"/>
    <col min="52" max="52" width="10.33203125" style="1" bestFit="1" customWidth="1"/>
    <col min="53" max="53" width="7.77734375" style="17" bestFit="1" customWidth="1"/>
    <col min="54" max="54" width="9.88671875" style="17" bestFit="1" customWidth="1"/>
    <col min="55" max="55" width="7.77734375" style="14" bestFit="1" customWidth="1"/>
    <col min="56" max="56" width="9.88671875" style="14" bestFit="1" customWidth="1"/>
    <col min="57" max="57" width="7.77734375" style="41" bestFit="1" customWidth="1"/>
    <col min="58" max="58" width="9.88671875" style="41" bestFit="1" customWidth="1"/>
    <col min="59" max="60" width="9.88671875" style="45" customWidth="1"/>
    <col min="61" max="61" width="8.88671875" style="1"/>
    <col min="62" max="62" width="9.21875" style="1" customWidth="1"/>
    <col min="63" max="63" width="10.33203125" style="1" bestFit="1" customWidth="1"/>
    <col min="64" max="65" width="9.21875" style="1" customWidth="1"/>
    <col min="66" max="66" width="13.109375" style="1" customWidth="1"/>
    <col min="67" max="69" width="9.21875" style="1" customWidth="1"/>
    <col min="70" max="70" width="8.88671875" style="1"/>
    <col min="71" max="71" width="14.5546875" style="1" bestFit="1" customWidth="1"/>
    <col min="72" max="72" width="6.44140625" style="1" bestFit="1" customWidth="1"/>
    <col min="73" max="73" width="7.77734375" style="1" bestFit="1" customWidth="1"/>
    <col min="74" max="74" width="8.88671875" style="1" bestFit="1" customWidth="1"/>
    <col min="75" max="75" width="10.88671875" style="14" bestFit="1" customWidth="1"/>
    <col min="76" max="76" width="8.88671875" style="1"/>
    <col min="77" max="77" width="23" style="1" bestFit="1" customWidth="1"/>
    <col min="78" max="78" width="6.44140625" style="1" bestFit="1" customWidth="1"/>
    <col min="79" max="79" width="5.88671875" style="1" bestFit="1" customWidth="1"/>
    <col min="80" max="80" width="6.44140625" style="1" bestFit="1" customWidth="1"/>
    <col min="81" max="81" width="8.88671875" style="1"/>
    <col min="82" max="82" width="6.5546875" style="1" bestFit="1" customWidth="1"/>
    <col min="83" max="83" width="7.21875" style="1" bestFit="1" customWidth="1"/>
    <col min="84" max="84" width="8.88671875" style="1"/>
    <col min="85" max="85" width="23" style="1" bestFit="1" customWidth="1"/>
    <col min="86" max="87" width="5.88671875" style="1" bestFit="1" customWidth="1"/>
    <col min="88" max="89" width="6.44140625" style="1" bestFit="1" customWidth="1"/>
    <col min="90" max="90" width="8.88671875" style="1"/>
    <col min="91" max="91" width="6.5546875" style="1" bestFit="1" customWidth="1"/>
    <col min="92" max="92" width="7.21875" style="1" bestFit="1" customWidth="1"/>
    <col min="93" max="93" width="7.88671875" style="1" bestFit="1" customWidth="1"/>
    <col min="94" max="94" width="6.44140625" style="1" bestFit="1" customWidth="1"/>
    <col min="95" max="95" width="8.88671875" style="1"/>
    <col min="96" max="96" width="23" style="1" bestFit="1" customWidth="1"/>
    <col min="97" max="97" width="6.44140625" style="1" bestFit="1" customWidth="1"/>
    <col min="98" max="99" width="6.5546875" style="1" bestFit="1" customWidth="1"/>
    <col min="100" max="100" width="6.44140625" style="1" bestFit="1" customWidth="1"/>
    <col min="101" max="101" width="8.88671875" style="1"/>
    <col min="102" max="102" width="6.5546875" style="1" bestFit="1" customWidth="1"/>
    <col min="103" max="103" width="7.21875" style="1" bestFit="1" customWidth="1"/>
    <col min="104" max="104" width="7.88671875" style="1" bestFit="1" customWidth="1"/>
    <col min="105" max="105" width="6.5546875" style="1" bestFit="1" customWidth="1"/>
    <col min="106" max="106" width="8.88671875" style="1"/>
    <col min="107" max="107" width="6.109375" style="1" bestFit="1" customWidth="1"/>
    <col min="108" max="108" width="10.88671875" style="1" bestFit="1" customWidth="1"/>
    <col min="109" max="109" width="8.88671875" style="1" bestFit="1" customWidth="1"/>
    <col min="110" max="110" width="8.88671875" style="1" customWidth="1"/>
    <col min="111" max="111" width="9.6640625" style="1" bestFit="1" customWidth="1"/>
    <col min="112" max="112" width="11.33203125" style="1" bestFit="1" customWidth="1"/>
    <col min="113" max="113" width="8.88671875" style="1" bestFit="1" customWidth="1"/>
    <col min="114" max="114" width="12.88671875" style="1" bestFit="1" customWidth="1"/>
    <col min="115" max="115" width="6.44140625" style="1" bestFit="1" customWidth="1"/>
    <col min="116" max="116" width="6.77734375" style="14" bestFit="1" customWidth="1"/>
    <col min="117" max="117" width="8.88671875" style="1"/>
    <col min="118" max="118" width="14.6640625" style="1" bestFit="1" customWidth="1"/>
    <col min="119" max="119" width="6.44140625" style="14" bestFit="1" customWidth="1"/>
    <col min="120" max="120" width="8.88671875" style="1"/>
    <col min="121" max="121" width="23" style="1" bestFit="1" customWidth="1"/>
    <col min="122" max="131" width="8.88671875" style="1"/>
    <col min="132" max="132" width="23" style="1" bestFit="1" customWidth="1"/>
    <col min="133" max="16384" width="8.88671875" style="1"/>
  </cols>
  <sheetData>
    <row r="1" spans="1:141" s="16" customFormat="1" ht="14.4" customHeight="1" x14ac:dyDescent="0.3">
      <c r="A1" s="111" t="s">
        <v>104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Y1" s="111" t="s">
        <v>77</v>
      </c>
      <c r="AZ1" s="111"/>
      <c r="BA1" s="111"/>
      <c r="BB1" s="111"/>
      <c r="BC1" s="111"/>
      <c r="BD1" s="111"/>
      <c r="BE1" s="111"/>
      <c r="BF1" s="111"/>
      <c r="BG1" s="111"/>
      <c r="BH1" s="111"/>
      <c r="BI1" s="111"/>
      <c r="BJ1" s="111"/>
      <c r="BK1" s="111"/>
      <c r="BL1" s="111"/>
      <c r="BM1" s="111"/>
      <c r="BN1" s="111"/>
      <c r="BO1" s="111"/>
      <c r="BP1" s="111"/>
      <c r="BQ1" s="111"/>
      <c r="BS1" s="107" t="s">
        <v>33</v>
      </c>
      <c r="BT1" s="107"/>
      <c r="BU1" s="107"/>
      <c r="BV1" s="107"/>
      <c r="BW1" s="107"/>
      <c r="BX1" s="107"/>
      <c r="BY1" s="107"/>
      <c r="BZ1" s="107"/>
      <c r="CA1" s="107"/>
      <c r="CB1" s="107"/>
      <c r="CC1" s="107"/>
      <c r="CD1" s="107"/>
      <c r="CE1" s="107"/>
      <c r="CF1" s="107"/>
      <c r="CG1" s="107"/>
      <c r="CH1" s="107"/>
      <c r="CI1" s="107"/>
      <c r="CJ1" s="107"/>
      <c r="CK1" s="107"/>
      <c r="CL1" s="107"/>
      <c r="CM1" s="107"/>
      <c r="CN1" s="107"/>
      <c r="CO1" s="107"/>
      <c r="CP1" s="107"/>
      <c r="CQ1" s="107"/>
      <c r="CR1" s="107"/>
      <c r="CS1" s="107"/>
      <c r="CT1" s="107"/>
      <c r="CU1" s="107"/>
      <c r="CV1" s="107"/>
      <c r="CW1" s="107"/>
      <c r="CX1" s="107"/>
      <c r="CY1" s="107"/>
      <c r="CZ1" s="107"/>
      <c r="DA1" s="107"/>
      <c r="DC1" s="107" t="s">
        <v>48</v>
      </c>
      <c r="DD1" s="107"/>
      <c r="DE1" s="107"/>
      <c r="DF1" s="107"/>
      <c r="DG1" s="107"/>
      <c r="DH1" s="107"/>
      <c r="DI1" s="107"/>
      <c r="DJ1" s="107"/>
      <c r="DK1" s="107"/>
      <c r="DL1" s="107"/>
      <c r="DM1" s="107"/>
      <c r="DN1" s="107"/>
      <c r="DO1" s="107"/>
      <c r="DP1" s="107"/>
      <c r="DQ1" s="107"/>
      <c r="DR1" s="107"/>
      <c r="DS1" s="107"/>
      <c r="DT1" s="107"/>
      <c r="DU1" s="107"/>
      <c r="DV1" s="107"/>
      <c r="DW1" s="107"/>
      <c r="DX1" s="107"/>
      <c r="DY1" s="107"/>
      <c r="DZ1" s="107"/>
      <c r="EA1" s="23"/>
    </row>
    <row r="2" spans="1:141" s="16" customFormat="1" x14ac:dyDescent="0.3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BA2" s="22"/>
      <c r="BB2" s="22"/>
      <c r="BC2" s="24"/>
      <c r="BD2" s="24"/>
      <c r="BE2" s="38"/>
      <c r="BF2" s="38"/>
      <c r="BG2" s="43"/>
      <c r="BH2" s="43"/>
      <c r="BJ2" s="29"/>
      <c r="BK2" s="29"/>
      <c r="BL2" s="29"/>
      <c r="BM2" s="29"/>
      <c r="BN2" s="29"/>
      <c r="BO2" s="29"/>
      <c r="BP2" s="29"/>
      <c r="BQ2" s="29"/>
      <c r="BW2" s="24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L2" s="24"/>
      <c r="DO2" s="24"/>
    </row>
    <row r="3" spans="1:141" s="27" customFormat="1" ht="14.4" customHeight="1" x14ac:dyDescent="0.3">
      <c r="A3" s="102" t="s">
        <v>1</v>
      </c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R3" s="102" t="s">
        <v>30</v>
      </c>
      <c r="S3" s="102"/>
      <c r="T3" s="102"/>
      <c r="U3" s="102"/>
      <c r="V3" s="102"/>
      <c r="W3" s="102"/>
      <c r="X3" s="102"/>
      <c r="Y3" s="102"/>
      <c r="AA3" s="102" t="s">
        <v>27</v>
      </c>
      <c r="AB3" s="102"/>
      <c r="AC3" s="102"/>
      <c r="AD3" s="102"/>
      <c r="AE3" s="102"/>
      <c r="AF3" s="102"/>
      <c r="AG3" s="102"/>
      <c r="AH3" s="102"/>
      <c r="AI3" s="102"/>
      <c r="AJ3" s="102"/>
      <c r="AK3" s="102"/>
      <c r="AL3" s="102"/>
      <c r="AM3" s="102"/>
      <c r="AO3" s="102" t="s">
        <v>31</v>
      </c>
      <c r="AP3" s="102"/>
      <c r="AQ3" s="102"/>
      <c r="AR3" s="102"/>
      <c r="AS3" s="102"/>
      <c r="AT3" s="102"/>
      <c r="AU3" s="102"/>
      <c r="AV3" s="102"/>
      <c r="AW3" s="102"/>
      <c r="AY3" s="102" t="s">
        <v>85</v>
      </c>
      <c r="AZ3" s="102"/>
      <c r="BA3" s="102"/>
      <c r="BB3" s="102"/>
      <c r="BC3" s="102"/>
      <c r="BD3" s="102"/>
      <c r="BE3" s="102"/>
      <c r="BF3" s="102"/>
      <c r="BG3" s="102"/>
      <c r="BH3" s="102"/>
      <c r="BJ3" s="102" t="s">
        <v>84</v>
      </c>
      <c r="BK3" s="102"/>
      <c r="BL3" s="102"/>
      <c r="BM3" s="102"/>
      <c r="BN3" s="102"/>
      <c r="BO3" s="102"/>
      <c r="BP3" s="102"/>
      <c r="BQ3" s="102"/>
      <c r="BS3" s="102" t="s">
        <v>187</v>
      </c>
      <c r="BT3" s="102"/>
      <c r="BU3" s="102"/>
      <c r="BV3" s="102"/>
      <c r="BW3" s="102"/>
      <c r="BY3" s="102" t="s">
        <v>42</v>
      </c>
      <c r="BZ3" s="102"/>
      <c r="CA3" s="102"/>
      <c r="CB3" s="102"/>
      <c r="CC3" s="102"/>
      <c r="CD3" s="102"/>
      <c r="CE3" s="102"/>
      <c r="CG3" s="102" t="s">
        <v>40</v>
      </c>
      <c r="CH3" s="102"/>
      <c r="CI3" s="102"/>
      <c r="CJ3" s="102"/>
      <c r="CK3" s="102"/>
      <c r="CL3" s="102"/>
      <c r="CM3" s="102"/>
      <c r="CN3" s="102"/>
      <c r="CO3" s="102"/>
      <c r="CP3" s="102"/>
      <c r="CQ3" s="28"/>
      <c r="CR3" s="102" t="s">
        <v>46</v>
      </c>
      <c r="CS3" s="102"/>
      <c r="CT3" s="102"/>
      <c r="CU3" s="102"/>
      <c r="CV3" s="102"/>
      <c r="CW3" s="102"/>
      <c r="CX3" s="102"/>
      <c r="CY3" s="102"/>
      <c r="CZ3" s="102"/>
      <c r="DA3" s="102"/>
      <c r="DC3" s="102" t="s">
        <v>49</v>
      </c>
      <c r="DD3" s="102"/>
      <c r="DE3" s="102"/>
      <c r="DF3" s="102"/>
      <c r="DG3" s="102"/>
      <c r="DH3" s="102"/>
      <c r="DJ3" s="108" t="s">
        <v>68</v>
      </c>
      <c r="DK3" s="108"/>
      <c r="DL3" s="108"/>
      <c r="DN3" s="108" t="s">
        <v>64</v>
      </c>
      <c r="DO3" s="108"/>
      <c r="DQ3" s="102" t="s">
        <v>90</v>
      </c>
      <c r="DR3" s="102"/>
      <c r="DS3" s="102"/>
      <c r="DT3" s="102"/>
      <c r="DU3" s="102"/>
      <c r="DV3" s="102"/>
      <c r="DW3" s="102"/>
      <c r="DX3" s="102"/>
      <c r="DY3" s="102"/>
      <c r="DZ3" s="102"/>
      <c r="EA3" s="26"/>
      <c r="EC3" s="102" t="s">
        <v>89</v>
      </c>
      <c r="ED3" s="102"/>
      <c r="EE3" s="102"/>
      <c r="EF3" s="102"/>
      <c r="EG3" s="102"/>
      <c r="EH3" s="102"/>
      <c r="EI3" s="102"/>
      <c r="EJ3" s="102"/>
      <c r="EK3" s="102"/>
    </row>
    <row r="4" spans="1:141" s="5" customFormat="1" ht="55.8" customHeight="1" thickBot="1" x14ac:dyDescent="0.35">
      <c r="I4" s="3"/>
      <c r="J4" s="3"/>
      <c r="K4" s="3"/>
      <c r="L4" s="3"/>
      <c r="M4" s="3"/>
      <c r="N4" s="3"/>
      <c r="O4" s="3"/>
      <c r="P4" s="3"/>
      <c r="R4" s="103" t="s">
        <v>10</v>
      </c>
      <c r="S4" s="103"/>
      <c r="T4" s="103"/>
      <c r="U4" s="103"/>
      <c r="V4" s="103" t="s">
        <v>11</v>
      </c>
      <c r="W4" s="103"/>
      <c r="X4" s="103"/>
      <c r="Y4" s="103"/>
      <c r="BA4" s="36"/>
      <c r="BB4" s="36"/>
      <c r="BC4" s="31"/>
      <c r="BD4" s="31"/>
      <c r="BE4" s="39"/>
      <c r="BF4" s="39"/>
      <c r="BG4" s="44"/>
      <c r="BH4" s="44"/>
      <c r="BW4" s="31"/>
      <c r="DJ4" s="108"/>
      <c r="DK4" s="108"/>
      <c r="DL4" s="108"/>
      <c r="DN4" s="108"/>
      <c r="DO4" s="108"/>
    </row>
    <row r="5" spans="1:141" s="5" customFormat="1" ht="15" customHeight="1" thickBot="1" x14ac:dyDescent="0.35">
      <c r="I5" s="109">
        <v>41455</v>
      </c>
      <c r="J5" s="109"/>
      <c r="K5" s="109">
        <v>41639</v>
      </c>
      <c r="L5" s="109"/>
      <c r="M5" s="109"/>
      <c r="N5" s="103" t="s">
        <v>14</v>
      </c>
      <c r="O5" s="103"/>
      <c r="P5" s="103"/>
      <c r="S5" s="110" t="s">
        <v>15</v>
      </c>
      <c r="T5" s="110"/>
      <c r="U5" s="110"/>
      <c r="W5" s="110" t="s">
        <v>15</v>
      </c>
      <c r="X5" s="110"/>
      <c r="Y5" s="110"/>
      <c r="AB5" s="103" t="s">
        <v>26</v>
      </c>
      <c r="AC5" s="103"/>
      <c r="AD5" s="103"/>
      <c r="AE5" s="103"/>
      <c r="AF5" s="103" t="s">
        <v>29</v>
      </c>
      <c r="AG5" s="103"/>
      <c r="AH5" s="103"/>
      <c r="AI5" s="103"/>
      <c r="AJ5" s="103" t="s">
        <v>2</v>
      </c>
      <c r="AK5" s="103"/>
      <c r="AL5" s="103"/>
      <c r="AM5" s="103"/>
      <c r="AP5" s="103" t="s">
        <v>32</v>
      </c>
      <c r="AQ5" s="103"/>
      <c r="AR5" s="103"/>
      <c r="AS5" s="103"/>
      <c r="AT5" s="103" t="s">
        <v>12</v>
      </c>
      <c r="AU5" s="103"/>
      <c r="AV5" s="103"/>
      <c r="AW5" s="103"/>
      <c r="AY5" s="105" t="s">
        <v>78</v>
      </c>
      <c r="AZ5" s="105" t="s">
        <v>63</v>
      </c>
      <c r="BA5" s="104" t="s">
        <v>9</v>
      </c>
      <c r="BB5" s="104"/>
      <c r="BC5" s="112" t="s">
        <v>12</v>
      </c>
      <c r="BD5" s="112"/>
      <c r="BE5" s="113" t="s">
        <v>2</v>
      </c>
      <c r="BF5" s="113"/>
      <c r="BG5" s="113" t="s">
        <v>87</v>
      </c>
      <c r="BH5" s="113"/>
      <c r="BJ5" s="105" t="s">
        <v>78</v>
      </c>
      <c r="BK5" s="105" t="s">
        <v>63</v>
      </c>
      <c r="BL5" s="105" t="s">
        <v>79</v>
      </c>
      <c r="BM5" s="105" t="s">
        <v>80</v>
      </c>
      <c r="BN5" s="105" t="s">
        <v>81</v>
      </c>
      <c r="BO5" s="105" t="s">
        <v>82</v>
      </c>
      <c r="BP5" s="105" t="s">
        <v>83</v>
      </c>
      <c r="BQ5" s="105" t="s">
        <v>8</v>
      </c>
      <c r="BU5" s="5" cm="1">
        <f t="array" ref="BU5:BV5">G10:H10</f>
        <v>4.4000000000000004</v>
      </c>
      <c r="BV5" s="5">
        <v>22.84</v>
      </c>
      <c r="BW5" s="31"/>
      <c r="BZ5" s="103" t="s">
        <v>41</v>
      </c>
      <c r="CA5" s="103"/>
      <c r="CB5" s="103"/>
      <c r="CC5" s="103"/>
      <c r="CD5" s="103"/>
      <c r="CE5" s="103"/>
      <c r="CG5" s="103" t="s">
        <v>44</v>
      </c>
      <c r="CH5" s="103"/>
      <c r="CI5" s="103"/>
      <c r="CJ5" s="103"/>
      <c r="CK5" s="103"/>
      <c r="CL5" s="103"/>
      <c r="CM5" s="103"/>
      <c r="CN5" s="103"/>
      <c r="CO5" s="103"/>
      <c r="CP5" s="103"/>
      <c r="CS5" s="103" t="s">
        <v>47</v>
      </c>
      <c r="CT5" s="103"/>
      <c r="CU5" s="103"/>
      <c r="CV5" s="103"/>
      <c r="CW5" s="103"/>
      <c r="CX5" s="103"/>
      <c r="CY5" s="103"/>
      <c r="CZ5" s="103"/>
      <c r="DA5" s="103"/>
      <c r="DD5" s="109">
        <v>41455</v>
      </c>
      <c r="DE5" s="109"/>
      <c r="DF5" s="109"/>
      <c r="DG5" s="109"/>
      <c r="DH5" s="30">
        <v>41639</v>
      </c>
      <c r="DL5" s="31"/>
      <c r="DO5" s="31"/>
    </row>
    <row r="6" spans="1:141" s="5" customFormat="1" ht="15" customHeight="1" thickBot="1" x14ac:dyDescent="0.35">
      <c r="A6" s="3" t="s">
        <v>0</v>
      </c>
      <c r="B6" s="3" t="s">
        <v>17</v>
      </c>
      <c r="C6" s="3" t="s">
        <v>6</v>
      </c>
      <c r="D6" s="3" t="s">
        <v>18</v>
      </c>
      <c r="E6" s="3" t="s">
        <v>25</v>
      </c>
      <c r="F6" s="3" t="s">
        <v>21</v>
      </c>
      <c r="G6" s="3" t="s">
        <v>2</v>
      </c>
      <c r="H6" s="3" t="s">
        <v>3</v>
      </c>
      <c r="I6" s="3" t="s">
        <v>4</v>
      </c>
      <c r="J6" s="3" t="s">
        <v>5</v>
      </c>
      <c r="K6" s="3" t="s">
        <v>4</v>
      </c>
      <c r="L6" s="3" t="s">
        <v>5</v>
      </c>
      <c r="M6" s="3" t="s">
        <v>6</v>
      </c>
      <c r="N6" s="3" t="s">
        <v>5</v>
      </c>
      <c r="O6" s="3" t="s">
        <v>7</v>
      </c>
      <c r="P6" s="3" t="s">
        <v>8</v>
      </c>
      <c r="R6" s="3" t="s">
        <v>9</v>
      </c>
      <c r="S6" s="3" t="s">
        <v>2</v>
      </c>
      <c r="T6" s="3" t="s">
        <v>3</v>
      </c>
      <c r="U6" s="3" t="s">
        <v>12</v>
      </c>
      <c r="V6" s="3" t="s">
        <v>9</v>
      </c>
      <c r="W6" s="3" t="s">
        <v>2</v>
      </c>
      <c r="X6" s="3" t="s">
        <v>3</v>
      </c>
      <c r="Y6" s="3" t="s">
        <v>12</v>
      </c>
      <c r="AA6" s="3" t="str" cm="1">
        <f t="array" ref="AA6:AE9">_xlfn.PIVOTBY(B7:B13,F7:F13,R7:R13,_xleta.SUM,,,-1,,-1)</f>
        <v/>
      </c>
      <c r="AB6" s="3" t="str">
        <v>Short</v>
      </c>
      <c r="AC6" s="3" t="str">
        <v>Mid</v>
      </c>
      <c r="AD6" s="3" t="str">
        <v>Long</v>
      </c>
      <c r="AE6" s="3" t="str">
        <v>Total</v>
      </c>
      <c r="AF6" s="3" t="s">
        <v>22</v>
      </c>
      <c r="AG6" s="3" t="s">
        <v>23</v>
      </c>
      <c r="AH6" s="3" t="s">
        <v>24</v>
      </c>
      <c r="AI6" s="3" t="s">
        <v>8</v>
      </c>
      <c r="AJ6" s="3" t="s">
        <v>22</v>
      </c>
      <c r="AK6" s="3" t="s">
        <v>23</v>
      </c>
      <c r="AL6" s="3" t="s">
        <v>24</v>
      </c>
      <c r="AM6" s="3" t="s">
        <v>8</v>
      </c>
      <c r="AO6" s="3"/>
      <c r="AP6" s="3" t="s">
        <v>22</v>
      </c>
      <c r="AQ6" s="3" t="s">
        <v>23</v>
      </c>
      <c r="AR6" s="3" t="s">
        <v>24</v>
      </c>
      <c r="AS6" s="3" t="s">
        <v>8</v>
      </c>
      <c r="AT6" s="3" t="s">
        <v>22</v>
      </c>
      <c r="AU6" s="3" t="s">
        <v>23</v>
      </c>
      <c r="AV6" s="3" t="s">
        <v>24</v>
      </c>
      <c r="AW6" s="3" t="s">
        <v>8</v>
      </c>
      <c r="AY6" s="106"/>
      <c r="AZ6" s="106"/>
      <c r="BA6" s="37" t="s">
        <v>10</v>
      </c>
      <c r="BB6" s="37" t="s">
        <v>11</v>
      </c>
      <c r="BC6" s="32" t="s">
        <v>10</v>
      </c>
      <c r="BD6" s="32" t="s">
        <v>11</v>
      </c>
      <c r="BE6" s="40" t="s">
        <v>10</v>
      </c>
      <c r="BF6" s="40" t="s">
        <v>11</v>
      </c>
      <c r="BG6" s="40" t="s">
        <v>10</v>
      </c>
      <c r="BH6" s="40" t="s">
        <v>11</v>
      </c>
      <c r="BJ6" s="106"/>
      <c r="BK6" s="106"/>
      <c r="BL6" s="106"/>
      <c r="BM6" s="106"/>
      <c r="BN6" s="106"/>
      <c r="BO6" s="106"/>
      <c r="BP6" s="106"/>
      <c r="BQ6" s="106"/>
      <c r="BT6" s="5" t="s">
        <v>43</v>
      </c>
      <c r="BU6" s="5" t="s">
        <v>2</v>
      </c>
      <c r="BV6" s="5" t="s">
        <v>3</v>
      </c>
      <c r="BW6" s="31" t="s">
        <v>32</v>
      </c>
      <c r="BY6" s="3" t="s">
        <v>0</v>
      </c>
      <c r="BZ6" s="3" t="s">
        <v>34</v>
      </c>
      <c r="CA6" s="3" t="s">
        <v>35</v>
      </c>
      <c r="CB6" s="3" t="s">
        <v>36</v>
      </c>
      <c r="CC6" s="3" t="s">
        <v>37</v>
      </c>
      <c r="CD6" s="3" t="s">
        <v>38</v>
      </c>
      <c r="CE6" s="3" t="s">
        <v>39</v>
      </c>
      <c r="CG6" s="6"/>
      <c r="CH6" s="3" t="s">
        <v>43</v>
      </c>
      <c r="CI6" s="3" t="s">
        <v>34</v>
      </c>
      <c r="CJ6" s="3" t="s">
        <v>35</v>
      </c>
      <c r="CK6" s="3" t="s">
        <v>36</v>
      </c>
      <c r="CL6" s="3" t="s">
        <v>37</v>
      </c>
      <c r="CM6" s="3" t="s">
        <v>38</v>
      </c>
      <c r="CN6" s="3" t="s">
        <v>39</v>
      </c>
      <c r="CO6" s="3" t="s">
        <v>45</v>
      </c>
      <c r="CP6" s="3" t="s">
        <v>8</v>
      </c>
      <c r="CR6" s="3" t="s">
        <v>0</v>
      </c>
      <c r="CS6" s="3" t="s">
        <v>43</v>
      </c>
      <c r="CT6" s="3" t="s">
        <v>34</v>
      </c>
      <c r="CU6" s="3" t="s">
        <v>35</v>
      </c>
      <c r="CV6" s="3" t="s">
        <v>36</v>
      </c>
      <c r="CW6" s="3" t="s">
        <v>37</v>
      </c>
      <c r="CX6" s="3" t="s">
        <v>38</v>
      </c>
      <c r="CY6" s="3" t="s">
        <v>39</v>
      </c>
      <c r="CZ6" s="3" t="s">
        <v>45</v>
      </c>
      <c r="DA6" s="3" t="s">
        <v>8</v>
      </c>
      <c r="DC6" s="3" t="s">
        <v>50</v>
      </c>
      <c r="DD6" s="4" t="s">
        <v>69</v>
      </c>
      <c r="DE6" s="4" t="s">
        <v>52</v>
      </c>
      <c r="DF6" s="4" t="s">
        <v>37</v>
      </c>
      <c r="DG6" s="4" t="s">
        <v>54</v>
      </c>
      <c r="DH6" s="4" t="s">
        <v>70</v>
      </c>
      <c r="DJ6" s="4"/>
      <c r="DK6" s="3" t="s">
        <v>5</v>
      </c>
      <c r="DL6" s="32" t="s">
        <v>12</v>
      </c>
      <c r="DO6" s="31"/>
      <c r="DQ6" s="5" t="s">
        <v>0</v>
      </c>
      <c r="DR6" s="5" t="s">
        <v>6</v>
      </c>
      <c r="DS6" s="5" t="s">
        <v>91</v>
      </c>
      <c r="DT6" s="5" t="s">
        <v>34</v>
      </c>
      <c r="DU6" s="5" t="s">
        <v>35</v>
      </c>
      <c r="DV6" s="5" t="s">
        <v>36</v>
      </c>
      <c r="DW6" s="5" t="s">
        <v>37</v>
      </c>
      <c r="DX6" s="5" t="s">
        <v>38</v>
      </c>
      <c r="DY6" s="5" t="s">
        <v>39</v>
      </c>
      <c r="DZ6" s="5" t="s">
        <v>8</v>
      </c>
      <c r="EB6" s="5" t="s">
        <v>0</v>
      </c>
      <c r="EC6" s="5" t="s">
        <v>6</v>
      </c>
      <c r="ED6" s="5" t="s">
        <v>91</v>
      </c>
      <c r="EE6" s="5" t="s">
        <v>34</v>
      </c>
      <c r="EF6" s="5" t="s">
        <v>35</v>
      </c>
      <c r="EG6" s="5" t="s">
        <v>36</v>
      </c>
      <c r="EH6" s="5" t="s">
        <v>37</v>
      </c>
      <c r="EI6" s="5" t="s">
        <v>38</v>
      </c>
      <c r="EJ6" s="5" t="s">
        <v>39</v>
      </c>
      <c r="EK6" s="5" t="s">
        <v>8</v>
      </c>
    </row>
    <row r="7" spans="1:141" x14ac:dyDescent="0.3">
      <c r="A7" s="1" t="str" cm="1">
        <f t="array" ref="A7:A13">B7:B13&amp;" "&amp;TEXT(C7:C13,"0%")&amp;" "&amp;TEXT(D7:D13,"DD MMM YYYY")</f>
        <v>Government 5% 30 Jun 2018</v>
      </c>
      <c r="B7" s="7" t="s">
        <v>19</v>
      </c>
      <c r="C7" s="8">
        <v>0.05</v>
      </c>
      <c r="D7" s="9">
        <v>43281</v>
      </c>
      <c r="E7" s="10" cm="1">
        <f t="array" ref="E7:E13">ROUND((D7:D13-I5)/365,0)</f>
        <v>5</v>
      </c>
      <c r="F7" s="9" t="s">
        <v>22</v>
      </c>
      <c r="G7" s="7">
        <v>4.42</v>
      </c>
      <c r="H7" s="7">
        <v>22.99</v>
      </c>
      <c r="I7" s="12">
        <v>3.78E-2</v>
      </c>
      <c r="J7" s="11">
        <v>105.5</v>
      </c>
      <c r="K7" s="12">
        <v>5.1700000000000003E-2</v>
      </c>
      <c r="L7" s="7">
        <v>99.33</v>
      </c>
      <c r="M7" s="13">
        <v>2.5000000000000001E-2</v>
      </c>
      <c r="N7" s="14" cm="1">
        <f t="array" ref="N7:N13">L7:L13/J7:J13-1</f>
        <v>-5.8483412322274941E-2</v>
      </c>
      <c r="O7" s="14" cm="1">
        <f t="array" ref="O7:O13">M7:M13*100/J7:J13</f>
        <v>2.3696682464454975E-2</v>
      </c>
      <c r="P7" s="14" cm="1">
        <f t="array" ref="P7:P13">_xlfn.ANCHORARRAY(N7)+_xlfn.ANCHORARRAY(O7)</f>
        <v>-3.478672985781997E-2</v>
      </c>
      <c r="R7" s="8">
        <v>0.1</v>
      </c>
      <c r="S7" s="15" cm="1">
        <f t="array" ref="S7:T13">R7:R13*G7:H13</f>
        <v>0.442</v>
      </c>
      <c r="T7" s="15">
        <v>2.2989999999999999</v>
      </c>
      <c r="U7" s="14" cm="1">
        <f t="array" ref="U7:U13">R7:R13*P7:P13</f>
        <v>-3.4786729857819972E-3</v>
      </c>
      <c r="V7" s="8">
        <v>0.2</v>
      </c>
      <c r="W7" s="15" cm="1">
        <f t="array" ref="W7:X13">V7:V13*G7:H13</f>
        <v>0.88400000000000001</v>
      </c>
      <c r="X7" s="15">
        <v>4.5979999999999999</v>
      </c>
      <c r="Y7" s="14" cm="1">
        <f t="array" ref="Y7:Y13">V7:V13*P7:P13</f>
        <v>-6.9573459715639944E-3</v>
      </c>
      <c r="AA7" s="1" t="str">
        <v>Government</v>
      </c>
      <c r="AB7" s="17">
        <v>0.1</v>
      </c>
      <c r="AC7" s="17">
        <v>0.1</v>
      </c>
      <c r="AD7" s="17">
        <v>0.2</v>
      </c>
      <c r="AE7" s="17">
        <v>0.4</v>
      </c>
      <c r="AF7" s="15" cm="1">
        <f t="array" ref="AF7">SUM(IF(($B$7:$B$13=$AA7)*($F$7:$F$13=AB$6),$G$7:$G$13*$R$7:$R$13))</f>
        <v>0.442</v>
      </c>
      <c r="AG7" s="15" cm="1">
        <f t="array" ref="AG7">SUM(IF(($B$7:$B$13=$AA7)*($F$7:$F$13=AC$6),$G$7:$G$13*$R$7:$R$13))</f>
        <v>0.747</v>
      </c>
      <c r="AH7" s="15" cm="1">
        <f t="array" ref="AH7">SUM(IF(($B$7:$B$13=$AA7)*($F$7:$F$13=AD$6),$G$7:$G$13*$R$7:$R$13))</f>
        <v>2.0420000000000003</v>
      </c>
      <c r="AI7" s="15" cm="1">
        <f t="array" ref="AI7">SUM(IF($B$7:$B$13=$AA7,$G$7:$G$13*$R$7:$R$13))</f>
        <v>3.2310000000000003</v>
      </c>
      <c r="AJ7" s="15" cm="1">
        <f t="array" ref="AJ7:AM9">AF7:AI9/AB7:AE9</f>
        <v>4.42</v>
      </c>
      <c r="AK7" s="15">
        <v>7.47</v>
      </c>
      <c r="AL7" s="15">
        <v>10.210000000000001</v>
      </c>
      <c r="AM7" s="15">
        <v>8.0775000000000006</v>
      </c>
      <c r="AO7" s="1" t="s">
        <v>19</v>
      </c>
      <c r="AP7" s="14" cm="1">
        <f t="array" ref="AP7">SUM(IF(($B$7:$B$13=$AO7)*($F$7:$F$13=AP$6),_xlfn.ANCHORARRAY($P$7)*$R$7:$R$13))</f>
        <v>-3.4786729857819972E-3</v>
      </c>
      <c r="AQ7" s="14" cm="1">
        <f t="array" ref="AQ7">SUM(IF(($B$7:$B$13=$AO7)*($F$7:$F$13=AQ$6),_xlfn.ANCHORARRAY($P$7)*$R$7:$R$13))</f>
        <v>-5.1603330310774119E-3</v>
      </c>
      <c r="AR7" s="14" cm="1">
        <f t="array" ref="AR7">SUM(IF(($B$7:$B$13=$AO7)*($F$7:$F$13=AR$6),_xlfn.ANCHORARRAY($P$7)*$R$7:$R$13))</f>
        <v>-8.7481410200332382E-3</v>
      </c>
      <c r="AS7" s="14" cm="1">
        <f t="array" ref="AS7">SUM(IF($B$7:$B$13=$AO7,_xlfn.ANCHORARRAY($P$7)*$R$7:$R$13))</f>
        <v>-1.7387147036892647E-2</v>
      </c>
      <c r="AT7" s="14" cm="1">
        <f t="array" ref="AT7:AW9">AP7:AS9/AB7:AE9</f>
        <v>-3.478672985781997E-2</v>
      </c>
      <c r="AU7" s="14">
        <v>-5.1603330310774118E-2</v>
      </c>
      <c r="AV7" s="14">
        <v>-4.3740705100166186E-2</v>
      </c>
      <c r="AW7" s="14">
        <v>-4.3467867592231618E-2</v>
      </c>
      <c r="AY7" s="14" t="s">
        <v>22</v>
      </c>
      <c r="AZ7" s="14" t="s">
        <v>19</v>
      </c>
      <c r="BA7" s="17" cm="1">
        <f t="array" ref="BA7">SUM(IF((($B$7:$B$13=$AZ7)+($AZ7="Total"))*(($F$7:$F$13=$AY7)+($AY7="Total")),$R$7:$R$13))</f>
        <v>0.1</v>
      </c>
      <c r="BB7" s="17" cm="1">
        <f t="array" ref="BB7">SUM(IF((($B$7:$B$13=$AZ7)+($AZ7="Total"))*(($F$7:$F$13=$AY7)+($AY7="Total")),$V$7:$V$13))</f>
        <v>0.2</v>
      </c>
      <c r="BC7" s="14" cm="1">
        <f t="array" ref="BC7:BC18">_xlfn.TOCOL(TRANSPOSE(_xlfn.ANCHORARRAY(AT7)))</f>
        <v>-3.478672985781997E-2</v>
      </c>
      <c r="BD7" s="14" cm="1">
        <f t="array" ref="BD7:BD18">_xlfn.TOCOL(TRANSPOSE(_xlfn.ANCHORARRAY(AT15)))</f>
        <v>-3.478672985781997E-2</v>
      </c>
      <c r="BE7" s="46" cm="1">
        <f t="array" ref="BE7:BE18">_xlfn.TOCOL(TRANSPOSE(_xlfn.ANCHORARRAY(AJ7)))</f>
        <v>4.42</v>
      </c>
      <c r="BF7" s="42" cm="1">
        <f t="array" ref="BF7:BF18">_xlfn.TOCOL(TRANSPOSE(_xlfn.ANCHORARRAY(AJ15)))</f>
        <v>4.42</v>
      </c>
      <c r="BJ7" s="14" t="s">
        <v>22</v>
      </c>
      <c r="BK7" s="14" t="s">
        <v>19</v>
      </c>
      <c r="BL7" s="14"/>
      <c r="BM7" s="14"/>
      <c r="BN7" s="14"/>
      <c r="BP7" s="14">
        <f>BA7*(BC7-BD7)</f>
        <v>0</v>
      </c>
      <c r="BQ7" s="14" cm="1">
        <f t="array" ref="BQ7:BQ15">_xlfn.BYROW(BN7:BP15,_xleta.SUM)</f>
        <v>0</v>
      </c>
      <c r="BS7" s="34" t="s">
        <v>58</v>
      </c>
      <c r="BT7" s="97">
        <f>SUM(BT8:BT9)</f>
        <v>4.19E-2</v>
      </c>
      <c r="BU7" s="96"/>
      <c r="BV7" s="96"/>
      <c r="BW7" s="97">
        <f>SUM(BW8:BW9)</f>
        <v>2.5545140610958895E-2</v>
      </c>
      <c r="BY7" s="1" t="str" cm="1">
        <f t="array" ref="BY7:BY13">_xlfn.ANCHORARRAY(A7)</f>
        <v>Government 5% 30 Jun 2018</v>
      </c>
      <c r="BZ7" s="25">
        <v>-8.9999999999999998E-4</v>
      </c>
      <c r="CA7" s="25">
        <v>0.01</v>
      </c>
      <c r="CB7" s="25">
        <v>2.3E-3</v>
      </c>
      <c r="CC7" s="25">
        <v>2.5000000000000001E-3</v>
      </c>
      <c r="CD7" s="25"/>
      <c r="CE7" s="25">
        <v>0</v>
      </c>
      <c r="CG7" s="1" t="str" cm="1">
        <f t="array" ref="CG7:CG13">_xlfn.ANCHORARRAY(A7)</f>
        <v>Government 5% 30 Jun 2018</v>
      </c>
      <c r="CH7" s="14" cm="1">
        <f t="array" ref="CH7:CH13">I7:I13*(DATE(2013,12,31)-DATE(2013,6,30))/365</f>
        <v>1.9055342465753425E-2</v>
      </c>
      <c r="CI7" s="14" cm="1">
        <f t="array" ref="CI7:CN13">-G7:G13*BZ7:CE13+0.5*H7:H13*BZ7:CE13^2</f>
        <v>3.9873109499999997E-3</v>
      </c>
      <c r="CJ7" s="14">
        <v>-4.3050500000000005E-2</v>
      </c>
      <c r="CK7" s="14">
        <v>-1.010519145E-2</v>
      </c>
      <c r="CL7" s="14">
        <v>-1.0978156250000001E-2</v>
      </c>
      <c r="CM7" s="14">
        <v>0</v>
      </c>
      <c r="CN7" s="14">
        <v>0</v>
      </c>
      <c r="CO7" s="14" cm="1">
        <f t="array" ref="CO7:CO13">CP7:CP13-_xlfn.BYROW(CH7:CN13,_xleta.SUM)</f>
        <v>6.304464426426612E-3</v>
      </c>
      <c r="CP7" s="14" cm="1">
        <f t="array" ref="CP7:CP13">_xlfn.ANCHORARRAY(P7)</f>
        <v>-3.478672985781997E-2</v>
      </c>
      <c r="CQ7" s="14"/>
      <c r="CR7" s="1" t="str" cm="1">
        <f t="array" ref="CR7:CR13">_xlfn.ANCHORARRAY(A7)</f>
        <v>Government 5% 30 Jun 2018</v>
      </c>
      <c r="CS7" s="14" cm="1">
        <f t="array" ref="CS7:DA13">(R7:R13-V7:V13)*CH7:CP13</f>
        <v>-1.9055342465753426E-3</v>
      </c>
      <c r="CT7" s="14">
        <v>-3.9873109499999999E-4</v>
      </c>
      <c r="CU7" s="14">
        <v>4.3050500000000004E-3</v>
      </c>
      <c r="CV7" s="14">
        <v>1.0105191450000002E-3</v>
      </c>
      <c r="CW7" s="14">
        <v>1.0978156250000001E-3</v>
      </c>
      <c r="CX7" s="14">
        <v>0</v>
      </c>
      <c r="CY7" s="14">
        <v>0</v>
      </c>
      <c r="CZ7" s="14">
        <v>-6.3044644264266124E-4</v>
      </c>
      <c r="DA7" s="14">
        <v>3.4786729857819972E-3</v>
      </c>
      <c r="DC7" s="1">
        <v>1</v>
      </c>
      <c r="DD7" s="12">
        <v>2.1700000000000001E-2</v>
      </c>
      <c r="DE7" s="25">
        <v>3.5499999999999997E-2</v>
      </c>
      <c r="DF7" s="25">
        <v>3.5499999999999997E-2</v>
      </c>
      <c r="DG7" s="25">
        <v>3.7499999999999999E-2</v>
      </c>
      <c r="DH7" s="25">
        <v>3.85E-2</v>
      </c>
      <c r="DJ7" s="1" t="s">
        <v>65</v>
      </c>
      <c r="DK7" s="15" cm="1">
        <f t="array" ref="DK7">SUM((_xlfn.FLOOR.MATH(_xlfn.SEQUENCE($E$10*2)/($E$10*2))*100+$M$10*100)*(1+$DD$7:$DD$16/2)^-$DC$7:$DC$16)</f>
        <v>103.19974147561445</v>
      </c>
      <c r="DN7" s="34" t="s">
        <v>58</v>
      </c>
      <c r="DO7" s="35">
        <f>SUM(DO8:DO10)</f>
        <v>2.5171632906759854E-2</v>
      </c>
      <c r="DQ7" s="1" t="str" cm="1">
        <f t="array" ref="DQ7:DQ13">_xlfn.ANCHORARRAY(A7)</f>
        <v>Government 5% 30 Jun 2018</v>
      </c>
      <c r="DR7" s="50">
        <v>2.3699999999999999E-2</v>
      </c>
      <c r="DS7" s="50">
        <v>-5.3E-3</v>
      </c>
      <c r="DT7" s="50">
        <v>4.3E-3</v>
      </c>
      <c r="DU7" s="50">
        <v>-3.9199999999999999E-2</v>
      </c>
      <c r="DV7" s="50">
        <v>-8.6E-3</v>
      </c>
      <c r="DW7" s="50">
        <v>-9.5999999999999992E-3</v>
      </c>
      <c r="DX7" s="50"/>
      <c r="DY7" s="50"/>
      <c r="DZ7" s="49" cm="1">
        <f t="array" ref="DZ7:DZ13">_xlfn.BYROW(DR7:DY13,_xleta.SUM)</f>
        <v>-3.4700000000000002E-2</v>
      </c>
      <c r="EA7" s="49"/>
      <c r="EB7" s="1" t="str" cm="1">
        <f t="array" ref="EB7:EB13">_xlfn.ANCHORARRAY(A7)</f>
        <v>Government 5% 30 Jun 2018</v>
      </c>
      <c r="EC7" s="14" cm="1">
        <f t="array" ref="EC7:EK13">(R7:R13-V7:V13)*DR7:DZ13</f>
        <v>-2.3700000000000001E-3</v>
      </c>
      <c r="ED7" s="14">
        <v>5.2999999999999998E-4</v>
      </c>
      <c r="EE7" s="14">
        <v>-4.3000000000000004E-4</v>
      </c>
      <c r="EF7" s="14">
        <v>3.9199999999999999E-3</v>
      </c>
      <c r="EG7" s="14">
        <v>8.6000000000000009E-4</v>
      </c>
      <c r="EH7" s="14">
        <v>9.5999999999999992E-4</v>
      </c>
      <c r="EI7" s="14">
        <v>0</v>
      </c>
      <c r="EJ7" s="14">
        <v>0</v>
      </c>
      <c r="EK7" s="14">
        <v>3.4700000000000004E-3</v>
      </c>
    </row>
    <row r="8" spans="1:141" x14ac:dyDescent="0.3">
      <c r="A8" s="1" t="str">
        <v>Government 7% 30 Jun 2023</v>
      </c>
      <c r="B8" s="7" t="s">
        <v>19</v>
      </c>
      <c r="C8" s="8">
        <v>7.0000000000000007E-2</v>
      </c>
      <c r="D8" s="9">
        <v>45107</v>
      </c>
      <c r="E8" s="10">
        <v>10</v>
      </c>
      <c r="F8" s="9" t="s">
        <v>23</v>
      </c>
      <c r="G8" s="7">
        <v>7.47</v>
      </c>
      <c r="H8" s="7">
        <v>69.31</v>
      </c>
      <c r="I8" s="12">
        <v>4.3499999999999997E-2</v>
      </c>
      <c r="J8" s="11">
        <v>121.31</v>
      </c>
      <c r="K8" s="12">
        <v>5.4300000000000001E-2</v>
      </c>
      <c r="L8" s="7">
        <v>111.55</v>
      </c>
      <c r="M8" s="13">
        <v>3.5000000000000003E-2</v>
      </c>
      <c r="N8" s="14">
        <v>-8.0455032561206896E-2</v>
      </c>
      <c r="O8" s="14">
        <v>2.8851702250432779E-2</v>
      </c>
      <c r="P8" s="14">
        <v>-5.1603330310774118E-2</v>
      </c>
      <c r="R8" s="8">
        <v>0.1</v>
      </c>
      <c r="S8" s="15">
        <v>0.747</v>
      </c>
      <c r="T8" s="15">
        <v>6.9310000000000009</v>
      </c>
      <c r="U8" s="14">
        <v>-5.1603330310774119E-3</v>
      </c>
      <c r="V8" s="8">
        <v>0.2</v>
      </c>
      <c r="W8" s="15">
        <v>1.494</v>
      </c>
      <c r="X8" s="15">
        <v>13.862000000000002</v>
      </c>
      <c r="Y8" s="14">
        <v>-1.0320666062154824E-2</v>
      </c>
      <c r="AA8" s="1" t="str">
        <v>Corporate</v>
      </c>
      <c r="AB8" s="17">
        <v>0.1</v>
      </c>
      <c r="AC8" s="17">
        <v>0.2</v>
      </c>
      <c r="AD8" s="17">
        <v>0.3</v>
      </c>
      <c r="AE8" s="17">
        <v>0.60000000000000009</v>
      </c>
      <c r="AF8" s="15" cm="1">
        <f t="array" ref="AF8">SUM(IF(($B$7:$B$13=$AA8)*($F$7:$F$13=AB$6),$G$7:$G$13*$R$7:$R$13))</f>
        <v>0.44000000000000006</v>
      </c>
      <c r="AG8" s="15" cm="1">
        <f t="array" ref="AG8">SUM(IF(($B$7:$B$13=$AA8)*($F$7:$F$13=AC$6),$G$7:$G$13*$R$7:$R$13))</f>
        <v>1.4800000000000002</v>
      </c>
      <c r="AH8" s="15" cm="1">
        <f t="array" ref="AH8">SUM(IF(($B$7:$B$13=$AA8)*($F$7:$F$13=AD$6),$G$7:$G$13*$R$7:$R$13))</f>
        <v>3.0180000000000002</v>
      </c>
      <c r="AI8" s="15" cm="1">
        <f t="array" ref="AI8">SUM(IF($B$7:$B$13=$AA8,$G$7:$G$13*$R$7:$R$13))</f>
        <v>4.9380000000000006</v>
      </c>
      <c r="AJ8" s="15">
        <v>4.4000000000000004</v>
      </c>
      <c r="AK8" s="15">
        <v>7.4</v>
      </c>
      <c r="AL8" s="15">
        <v>10.06</v>
      </c>
      <c r="AM8" s="15">
        <v>8.23</v>
      </c>
      <c r="AO8" s="1" t="s">
        <v>20</v>
      </c>
      <c r="AP8" s="14" cm="1">
        <f t="array" ref="AP8">SUM(IF(($B$7:$B$13=$AO8)*($F$7:$F$13=AP$6),_xlfn.ANCHORARRAY($P$7)*$R$7:$R$13))</f>
        <v>-4.3313953488372126E-3</v>
      </c>
      <c r="AQ8" s="14" cm="1">
        <f t="array" ref="AQ8">SUM(IF(($B$7:$B$13=$AO8)*($F$7:$F$13=AQ$6),_xlfn.ANCHORARRAY($P$7)*$R$7:$R$13))</f>
        <v>-1.2282952698657069E-2</v>
      </c>
      <c r="AR8" s="14" cm="1">
        <f t="array" ref="AR8">SUM(IF(($B$7:$B$13=$AO8)*($F$7:$F$13=AR$6),_xlfn.ANCHORARRAY($P$7)*$R$7:$R$13))</f>
        <v>-1.624977009380172E-2</v>
      </c>
      <c r="AS8" s="14" cm="1">
        <f t="array" ref="AS8">SUM(IF($B$7:$B$13=$AO8,_xlfn.ANCHORARRAY($P$7)*$R$7:$R$13))</f>
        <v>-3.2864118141296E-2</v>
      </c>
      <c r="AT8" s="14">
        <v>-4.3313953488372123E-2</v>
      </c>
      <c r="AU8" s="14">
        <v>-6.1414763493285347E-2</v>
      </c>
      <c r="AV8" s="14">
        <v>-5.4165900312672405E-2</v>
      </c>
      <c r="AW8" s="14">
        <v>-5.4773530235493327E-2</v>
      </c>
      <c r="AY8" s="14" t="s">
        <v>22</v>
      </c>
      <c r="AZ8" s="14" t="s">
        <v>20</v>
      </c>
      <c r="BA8" s="17" cm="1">
        <f t="array" ref="BA8">SUM(IF((($B$7:$B$13=$AZ8)+($AZ8="Total"))*(($F$7:$F$13=$AY8)+($AY8="Total")),$R$7:$R$13))</f>
        <v>0.1</v>
      </c>
      <c r="BB8" s="17" cm="1">
        <f t="array" ref="BB8">SUM(IF((($B$7:$B$13=$AZ8)+($AZ8="Total"))*(($F$7:$F$13=$AY8)+($AY8="Total")),$V$7:$V$13))</f>
        <v>0.15</v>
      </c>
      <c r="BC8" s="14">
        <v>-4.3313953488372123E-2</v>
      </c>
      <c r="BD8" s="14">
        <v>-4.3313953488372123E-2</v>
      </c>
      <c r="BE8" s="46">
        <v>4.4000000000000004</v>
      </c>
      <c r="BF8" s="46">
        <v>4.4000000000000004</v>
      </c>
      <c r="BJ8" s="14"/>
      <c r="BK8" s="14" t="s">
        <v>20</v>
      </c>
      <c r="BL8" s="14"/>
      <c r="BM8" s="14"/>
      <c r="BN8" s="14"/>
      <c r="BO8" s="14">
        <f>(BA8-BB8)*(BD8-BD7)</f>
        <v>4.2636118152760755E-4</v>
      </c>
      <c r="BP8" s="14">
        <f>BA8*(BC8-BD8)</f>
        <v>0</v>
      </c>
      <c r="BQ8" s="14">
        <v>4.2636118152760755E-4</v>
      </c>
      <c r="BS8" s="1" t="s">
        <v>188</v>
      </c>
      <c r="BT8" s="33">
        <f>I10</f>
        <v>4.2799999999999998E-2</v>
      </c>
      <c r="BW8" s="24">
        <f>BT8*(DATE(2013,12,31)-DATE(2013,6,30))/365</f>
        <v>2.1575890410958903E-2</v>
      </c>
      <c r="BY8" s="1" t="str">
        <v>Government 7% 30 Jun 2023</v>
      </c>
      <c r="BZ8" s="25">
        <v>-4.0000000000000002E-4</v>
      </c>
      <c r="CA8" s="25">
        <v>0.01</v>
      </c>
      <c r="CB8" s="25">
        <v>5.9999999999999995E-4</v>
      </c>
      <c r="CC8" s="25">
        <v>5.9999999999999995E-4</v>
      </c>
      <c r="CD8" s="25"/>
      <c r="CE8" s="25">
        <v>0</v>
      </c>
      <c r="CG8" s="1" t="str">
        <v>Government 7% 30 Jun 2023</v>
      </c>
      <c r="CH8" s="14">
        <v>2.192876712328767E-2</v>
      </c>
      <c r="CI8" s="14">
        <v>2.9935448000000002E-3</v>
      </c>
      <c r="CJ8" s="14">
        <v>-7.1234500000000006E-2</v>
      </c>
      <c r="CK8" s="14">
        <v>-4.4695242E-3</v>
      </c>
      <c r="CL8" s="14">
        <v>-4.4695242E-3</v>
      </c>
      <c r="CM8" s="14">
        <v>0</v>
      </c>
      <c r="CN8" s="14">
        <v>0</v>
      </c>
      <c r="CO8" s="14">
        <v>3.6479061659382139E-3</v>
      </c>
      <c r="CP8" s="14">
        <v>-5.1603330310774118E-2</v>
      </c>
      <c r="CQ8" s="14"/>
      <c r="CR8" s="1" t="str">
        <v>Government 7% 30 Jun 2023</v>
      </c>
      <c r="CS8" s="14">
        <v>-2.192876712328767E-3</v>
      </c>
      <c r="CT8" s="14">
        <v>-2.9935448000000003E-4</v>
      </c>
      <c r="CU8" s="14">
        <v>7.1234500000000008E-3</v>
      </c>
      <c r="CV8" s="14">
        <v>4.4695242000000003E-4</v>
      </c>
      <c r="CW8" s="14">
        <v>4.4695242000000003E-4</v>
      </c>
      <c r="CX8" s="14">
        <v>0</v>
      </c>
      <c r="CY8" s="14">
        <v>0</v>
      </c>
      <c r="CZ8" s="14">
        <v>-3.6479061659382139E-4</v>
      </c>
      <c r="DA8" s="14">
        <v>5.1603330310774119E-3</v>
      </c>
      <c r="DC8" s="1">
        <v>2</v>
      </c>
      <c r="DD8" s="12">
        <v>2.8199999999999999E-2</v>
      </c>
      <c r="DE8" s="25">
        <v>4.1799999999999997E-2</v>
      </c>
      <c r="DF8" s="25">
        <v>4.2130000000000001E-2</v>
      </c>
      <c r="DG8" s="25">
        <v>4.4130000000000003E-2</v>
      </c>
      <c r="DH8" s="25">
        <v>4.5100000000000001E-2</v>
      </c>
      <c r="DJ8" s="15" t="s">
        <v>51</v>
      </c>
      <c r="DK8" s="15" cm="1">
        <f t="array" ref="DK8">SUM((_xlfn.FLOOR.MATH(_xlfn.SEQUENCE($E$10*2-1)/($E$10*2-1))*100+$M$10*100)*(1+$DD$8:$DD$16/2)^-$DC$7:$DC$15)</f>
        <v>102.85016958158496</v>
      </c>
      <c r="DL8" s="14" cm="1">
        <f t="array" ref="DL8:DL14">(DK8:DK14-DK7:DK13)/$DK$7</f>
        <v>-3.3873330400937367E-3</v>
      </c>
      <c r="DM8" s="14"/>
      <c r="DN8" s="1" t="s">
        <v>6</v>
      </c>
      <c r="DO8" s="14">
        <f>DL16</f>
        <v>2.4224866886810338E-2</v>
      </c>
      <c r="DQ8" s="1" t="str">
        <v>Government 7% 30 Jun 2023</v>
      </c>
      <c r="DR8" s="50">
        <v>2.8899999999999999E-2</v>
      </c>
      <c r="DS8" s="50">
        <v>-8.5000000000000006E-3</v>
      </c>
      <c r="DT8" s="50">
        <v>4.4999999999999997E-3</v>
      </c>
      <c r="DU8" s="50">
        <v>-6.8099999999999994E-2</v>
      </c>
      <c r="DV8" s="50">
        <v>-3.8999999999999998E-3</v>
      </c>
      <c r="DW8" s="50">
        <v>-4.4000000000000003E-3</v>
      </c>
      <c r="DX8" s="50"/>
      <c r="DY8" s="50"/>
      <c r="DZ8" s="49">
        <v>-5.1499999999999997E-2</v>
      </c>
      <c r="EA8" s="49"/>
      <c r="EB8" s="1" t="str">
        <v>Government 7% 30 Jun 2023</v>
      </c>
      <c r="EC8" s="14">
        <v>-2.8900000000000002E-3</v>
      </c>
      <c r="ED8" s="14">
        <v>8.5000000000000006E-4</v>
      </c>
      <c r="EE8" s="14">
        <v>-4.4999999999999999E-4</v>
      </c>
      <c r="EF8" s="14">
        <v>6.8100000000000001E-3</v>
      </c>
      <c r="EG8" s="14">
        <v>3.8999999999999999E-4</v>
      </c>
      <c r="EH8" s="14">
        <v>4.4000000000000007E-4</v>
      </c>
      <c r="EI8" s="14">
        <v>0</v>
      </c>
      <c r="EJ8" s="14">
        <v>0</v>
      </c>
      <c r="EK8" s="14">
        <v>5.1500000000000001E-3</v>
      </c>
    </row>
    <row r="9" spans="1:141" x14ac:dyDescent="0.3">
      <c r="A9" s="1" t="str">
        <v>Government 6% 30 Jun 2028</v>
      </c>
      <c r="B9" s="7" t="s">
        <v>19</v>
      </c>
      <c r="C9" s="8">
        <v>0.06</v>
      </c>
      <c r="D9" s="9">
        <v>46934</v>
      </c>
      <c r="E9" s="10">
        <v>15</v>
      </c>
      <c r="F9" s="9" t="s">
        <v>24</v>
      </c>
      <c r="G9" s="7">
        <v>10.210000000000001</v>
      </c>
      <c r="H9" s="7">
        <v>134.44</v>
      </c>
      <c r="I9" s="12">
        <v>4.6600000000000003E-2</v>
      </c>
      <c r="J9" s="11">
        <v>114.31</v>
      </c>
      <c r="K9" s="12">
        <v>5.3699999999999998E-2</v>
      </c>
      <c r="L9" s="7">
        <v>106.31</v>
      </c>
      <c r="M9" s="13">
        <v>0.03</v>
      </c>
      <c r="N9" s="14">
        <v>-6.9985128160265919E-2</v>
      </c>
      <c r="O9" s="14">
        <v>2.6244423060099727E-2</v>
      </c>
      <c r="P9" s="14">
        <v>-4.3740705100166193E-2</v>
      </c>
      <c r="R9" s="8">
        <v>0.2</v>
      </c>
      <c r="S9" s="15">
        <v>2.0420000000000003</v>
      </c>
      <c r="T9" s="15">
        <v>26.888000000000002</v>
      </c>
      <c r="U9" s="14">
        <v>-8.7481410200332382E-3</v>
      </c>
      <c r="V9" s="8">
        <v>0.15</v>
      </c>
      <c r="W9" s="15">
        <v>1.5315000000000001</v>
      </c>
      <c r="X9" s="15">
        <v>20.166</v>
      </c>
      <c r="Y9" s="14">
        <v>-6.5611057650249291E-3</v>
      </c>
      <c r="AA9" s="16" t="str">
        <v>Total</v>
      </c>
      <c r="AB9" s="22">
        <v>0.2</v>
      </c>
      <c r="AC9" s="22">
        <v>0.30000000000000004</v>
      </c>
      <c r="AD9" s="22">
        <v>0.5</v>
      </c>
      <c r="AE9" s="22">
        <v>1</v>
      </c>
      <c r="AF9" s="19" cm="1">
        <f t="array" ref="AF9">SUM(IF($F$7:$F$13=AF$6,$G$7:$G$13*$R$7:$R$13))</f>
        <v>0.88200000000000012</v>
      </c>
      <c r="AG9" s="19" cm="1">
        <f t="array" ref="AG9">SUM(IF($F$7:$F$13=AG$6,$G$7:$G$13*$R$7:$R$13))</f>
        <v>2.2270000000000003</v>
      </c>
      <c r="AH9" s="19" cm="1">
        <f t="array" ref="AH9">SUM(IF($F$7:$F$13=AH$6,$G$7:$G$13*$R$7:$R$13))</f>
        <v>5.0600000000000005</v>
      </c>
      <c r="AI9" s="19">
        <f>SUMPRODUCT($G$7:$G$13,$R$7:$R$13)</f>
        <v>8.1690000000000005</v>
      </c>
      <c r="AJ9" s="19">
        <v>4.41</v>
      </c>
      <c r="AK9" s="19">
        <v>7.4233333333333329</v>
      </c>
      <c r="AL9" s="19">
        <v>10.120000000000001</v>
      </c>
      <c r="AM9" s="19">
        <v>8.1690000000000005</v>
      </c>
      <c r="AO9" s="16" t="s">
        <v>8</v>
      </c>
      <c r="AP9" s="24" cm="1">
        <f t="array" ref="AP9">SUM(IF($F$7:$F$13=AP$6,_xlfn.ANCHORARRAY($P$7)*$R$7:$R$13))</f>
        <v>-7.8100683346192098E-3</v>
      </c>
      <c r="AQ9" s="24" cm="1">
        <f t="array" ref="AQ9">SUM(IF($F$7:$F$13=AQ$6,_xlfn.ANCHORARRAY($P$7)*$R$7:$R$13))</f>
        <v>-1.7443285729734481E-2</v>
      </c>
      <c r="AR9" s="24" cm="1">
        <f t="array" ref="AR9">SUM(IF($F$7:$F$13=AR$6,_xlfn.ANCHORARRAY($P$7)*$R$7:$R$13))</f>
        <v>-2.499791111383496E-2</v>
      </c>
      <c r="AS9" s="24">
        <f>SUMPRODUCT(_xlfn.ANCHORARRAY($P$7),$R$7:$R$13)</f>
        <v>-5.0251265178188648E-2</v>
      </c>
      <c r="AT9" s="24">
        <v>-3.9050341673096046E-2</v>
      </c>
      <c r="AU9" s="24">
        <v>-5.8144285765781595E-2</v>
      </c>
      <c r="AV9" s="24">
        <v>-4.999582222766992E-2</v>
      </c>
      <c r="AW9" s="24">
        <v>-5.0251265178188648E-2</v>
      </c>
      <c r="AY9" s="14" t="s">
        <v>22</v>
      </c>
      <c r="AZ9" s="14" t="s">
        <v>8</v>
      </c>
      <c r="BA9" s="17" cm="1">
        <f t="array" ref="BA9">SUM(IF((($B$7:$B$13=$AZ9)+($AZ9="Total"))*(($F$7:$F$13=$AY9)+($AY9="Total")),$R$7:$R$13))</f>
        <v>0.2</v>
      </c>
      <c r="BB9" s="17" cm="1">
        <f t="array" ref="BB9">SUM(IF((($B$7:$B$13=$AZ9)+($AZ9="Total"))*(($F$7:$F$13=$AY9)+($AY9="Total")),$V$7:$V$13))</f>
        <v>0.35</v>
      </c>
      <c r="BC9" s="14">
        <v>-3.9050341673096046E-2</v>
      </c>
      <c r="BD9" s="14">
        <v>-3.8441254270913751E-2</v>
      </c>
      <c r="BE9" s="46">
        <v>4.41</v>
      </c>
      <c r="BF9" s="46">
        <v>4.4114285714285719</v>
      </c>
      <c r="BG9" s="45">
        <f>($BD$16-0.15%)/$BF$16*$BE9+0.15%</f>
        <v>-2.6321654813265104E-2</v>
      </c>
      <c r="BH9" s="45">
        <f>($BD$16-0.15%)/$BF$16*$BF9+0.15%</f>
        <v>-2.6330667335070505E-2</v>
      </c>
      <c r="BJ9" s="24"/>
      <c r="BK9" s="14" t="s">
        <v>8</v>
      </c>
      <c r="BL9" s="14">
        <f>BA9*BG9-BB9*BH9</f>
        <v>3.9514026046216545E-3</v>
      </c>
      <c r="BM9" s="14">
        <f>BN9-BL9</f>
        <v>1.26660687405134E-3</v>
      </c>
      <c r="BN9" s="14">
        <f>(BA9-BB9)*BD7</f>
        <v>5.2180094786729945E-3</v>
      </c>
      <c r="BO9" s="24"/>
      <c r="BP9" s="24"/>
      <c r="BQ9" s="14">
        <v>5.2180094786729945E-3</v>
      </c>
      <c r="BS9" s="1" t="s">
        <v>60</v>
      </c>
      <c r="BT9" s="12">
        <f>3.69%-I7</f>
        <v>-8.9999999999999802E-4</v>
      </c>
      <c r="BU9" s="14">
        <f>BT9*-BU$5</f>
        <v>3.9599999999999913E-3</v>
      </c>
      <c r="BV9" s="78">
        <f>BT9^2*0.5*BV$5</f>
        <v>9.2501999999999593E-6</v>
      </c>
      <c r="BW9" s="14">
        <f>SUM(BU9:BV9)</f>
        <v>3.9692501999999911E-3</v>
      </c>
      <c r="BY9" s="1" t="str">
        <v>Government 6% 30 Jun 2028</v>
      </c>
      <c r="BZ9" s="25">
        <v>-2.0000000000000001E-4</v>
      </c>
      <c r="CA9" s="25">
        <v>0.01</v>
      </c>
      <c r="CB9" s="25">
        <v>-1E-3</v>
      </c>
      <c r="CC9" s="25">
        <v>-1.6999999999999999E-3</v>
      </c>
      <c r="CD9" s="25"/>
      <c r="CE9" s="25">
        <v>0</v>
      </c>
      <c r="CG9" s="1" t="str">
        <v>Government 6% 30 Jun 2028</v>
      </c>
      <c r="CH9" s="14">
        <v>2.3491506849315072E-2</v>
      </c>
      <c r="CI9" s="14">
        <v>2.0446888000000005E-3</v>
      </c>
      <c r="CJ9" s="14">
        <v>-9.5378000000000004E-2</v>
      </c>
      <c r="CK9" s="14">
        <v>1.027722E-2</v>
      </c>
      <c r="CL9" s="14">
        <v>1.75512658E-2</v>
      </c>
      <c r="CM9" s="14">
        <v>0</v>
      </c>
      <c r="CN9" s="14">
        <v>0</v>
      </c>
      <c r="CO9" s="14">
        <v>-1.7273865494812635E-3</v>
      </c>
      <c r="CP9" s="14">
        <v>-4.3740705100166193E-2</v>
      </c>
      <c r="CQ9" s="14"/>
      <c r="CR9" s="1" t="str">
        <v>Government 6% 30 Jun 2028</v>
      </c>
      <c r="CS9" s="14">
        <v>1.1745753424657541E-3</v>
      </c>
      <c r="CT9" s="14">
        <v>1.0223444000000006E-4</v>
      </c>
      <c r="CU9" s="14">
        <v>-4.7689000000000021E-3</v>
      </c>
      <c r="CV9" s="14">
        <v>5.1386100000000022E-4</v>
      </c>
      <c r="CW9" s="14">
        <v>8.7756329000000029E-4</v>
      </c>
      <c r="CX9" s="14">
        <v>0</v>
      </c>
      <c r="CY9" s="14">
        <v>0</v>
      </c>
      <c r="CZ9" s="14">
        <v>-8.6369327474063206E-5</v>
      </c>
      <c r="DA9" s="14">
        <v>-2.1870352550083104E-3</v>
      </c>
      <c r="DC9" s="1">
        <v>3</v>
      </c>
      <c r="DD9" s="12">
        <v>3.2000000000000001E-2</v>
      </c>
      <c r="DE9" s="25">
        <v>4.5199999999999997E-2</v>
      </c>
      <c r="DF9" s="25">
        <v>4.607E-2</v>
      </c>
      <c r="DG9" s="25">
        <v>4.8070000000000002E-2</v>
      </c>
      <c r="DH9" s="25">
        <v>4.9100000000000005E-2</v>
      </c>
      <c r="DJ9" s="15" t="s">
        <v>60</v>
      </c>
      <c r="DK9" s="15" cm="1">
        <f t="array" ref="DK9">SUM((_xlfn.FLOOR.MATH(_xlfn.SEQUENCE($E$10*2-1)/($E$10*2-1))*100+$M$10*100)*(1+$DD$7:$DD$15/2)^-$DC$7:$DC$15)</f>
        <v>103.29744748411113</v>
      </c>
      <c r="DL9" s="14">
        <v>4.3340990600432535E-3</v>
      </c>
      <c r="DM9" s="14"/>
      <c r="DN9" s="1" t="s">
        <v>59</v>
      </c>
      <c r="DO9" s="14" cm="1">
        <f t="array" ref="DO9:DO10">DL8:DL9</f>
        <v>-3.3873330400937367E-3</v>
      </c>
      <c r="DQ9" s="1" t="str">
        <v>Government 6% 30 Jun 2028</v>
      </c>
      <c r="DR9" s="50">
        <v>2.6200000000000001E-2</v>
      </c>
      <c r="DS9" s="50">
        <v>-4.7999999999999996E-3</v>
      </c>
      <c r="DT9" s="50">
        <v>4.1999999999999997E-3</v>
      </c>
      <c r="DU9" s="50">
        <v>-9.2499999999999999E-2</v>
      </c>
      <c r="DV9" s="50">
        <v>8.5000000000000006E-3</v>
      </c>
      <c r="DW9" s="50">
        <v>1.46E-2</v>
      </c>
      <c r="DX9" s="50"/>
      <c r="DY9" s="50"/>
      <c r="DZ9" s="49">
        <v>-4.3799999999999999E-2</v>
      </c>
      <c r="EA9" s="49"/>
      <c r="EB9" s="1" t="str">
        <v>Government 6% 30 Jun 2028</v>
      </c>
      <c r="EC9" s="14">
        <v>1.3100000000000004E-3</v>
      </c>
      <c r="ED9" s="14">
        <v>-2.4000000000000006E-4</v>
      </c>
      <c r="EE9" s="14">
        <v>2.1000000000000006E-4</v>
      </c>
      <c r="EF9" s="14">
        <v>-4.6250000000000015E-3</v>
      </c>
      <c r="EG9" s="14">
        <v>4.2500000000000019E-4</v>
      </c>
      <c r="EH9" s="14">
        <v>7.3000000000000029E-4</v>
      </c>
      <c r="EI9" s="14">
        <v>0</v>
      </c>
      <c r="EJ9" s="14">
        <v>0</v>
      </c>
      <c r="EK9" s="14">
        <v>-2.1900000000000005E-3</v>
      </c>
    </row>
    <row r="10" spans="1:141" x14ac:dyDescent="0.3">
      <c r="A10" s="16" t="str">
        <v>Corporate 5% 30 Jun 2018</v>
      </c>
      <c r="B10" s="7" t="s">
        <v>20</v>
      </c>
      <c r="C10" s="8">
        <v>0.05</v>
      </c>
      <c r="D10" s="9">
        <v>43281</v>
      </c>
      <c r="E10" s="10">
        <v>5</v>
      </c>
      <c r="F10" s="9" t="s">
        <v>22</v>
      </c>
      <c r="G10" s="7">
        <v>4.4000000000000004</v>
      </c>
      <c r="H10" s="7">
        <v>22.84</v>
      </c>
      <c r="I10" s="12">
        <v>4.2799999999999998E-2</v>
      </c>
      <c r="J10" s="11">
        <v>103.2</v>
      </c>
      <c r="K10" s="12">
        <v>5.9700000000000003E-2</v>
      </c>
      <c r="L10" s="7">
        <v>96.23</v>
      </c>
      <c r="M10" s="13">
        <v>2.5000000000000001E-2</v>
      </c>
      <c r="N10" s="14">
        <v>-6.7538759689922512E-2</v>
      </c>
      <c r="O10" s="14">
        <v>2.4224806201550386E-2</v>
      </c>
      <c r="P10" s="14">
        <v>-4.3313953488372123E-2</v>
      </c>
      <c r="R10" s="8">
        <v>0.1</v>
      </c>
      <c r="S10" s="15">
        <v>0.44000000000000006</v>
      </c>
      <c r="T10" s="15">
        <v>2.2840000000000003</v>
      </c>
      <c r="U10" s="14">
        <v>-4.3313953488372126E-3</v>
      </c>
      <c r="V10" s="8">
        <v>0.15</v>
      </c>
      <c r="W10" s="15">
        <v>0.66</v>
      </c>
      <c r="X10" s="15">
        <v>3.4259999999999997</v>
      </c>
      <c r="Y10" s="14">
        <v>-6.4970930232558181E-3</v>
      </c>
      <c r="AY10" s="1" t="s">
        <v>23</v>
      </c>
      <c r="AZ10" s="14" t="s">
        <v>19</v>
      </c>
      <c r="BA10" s="17" cm="1">
        <f t="array" ref="BA10">SUM(IF((($B$7:$B$13=$AZ10)+($AZ10="Total"))*(($F$7:$F$13=$AY10)+($AY10="Total")),$R$7:$R$13))</f>
        <v>0.1</v>
      </c>
      <c r="BB10" s="17" cm="1">
        <f t="array" ref="BB10">SUM(IF((($B$7:$B$13=$AZ10)+($AZ10="Total"))*(($F$7:$F$13=$AY10)+($AY10="Total")),$V$7:$V$13))</f>
        <v>0.2</v>
      </c>
      <c r="BC10" s="14">
        <v>-5.1603330310774118E-2</v>
      </c>
      <c r="BD10" s="14">
        <v>-5.1603330310774118E-2</v>
      </c>
      <c r="BE10" s="46">
        <v>7.47</v>
      </c>
      <c r="BF10" s="42">
        <v>7.47</v>
      </c>
      <c r="BJ10" s="1" t="s">
        <v>23</v>
      </c>
      <c r="BK10" s="14" t="s">
        <v>19</v>
      </c>
      <c r="BP10" s="14">
        <f>BA10*(BC10-BD10)</f>
        <v>0</v>
      </c>
      <c r="BQ10" s="14">
        <v>0</v>
      </c>
      <c r="BS10" s="34" t="s">
        <v>61</v>
      </c>
      <c r="BT10" s="97">
        <f>SUM(BT11:BT13)</f>
        <v>1.4800000000000001E-2</v>
      </c>
      <c r="BU10" s="97"/>
      <c r="BV10" s="98"/>
      <c r="BW10" s="97">
        <f>SUM(BW11:BW13)</f>
        <v>-6.3846213200000002E-2</v>
      </c>
      <c r="BY10" s="1" t="str">
        <v>Corporate 5% 30 Jun 2018</v>
      </c>
      <c r="BZ10" s="25">
        <v>-8.9999999999999998E-4</v>
      </c>
      <c r="CA10" s="25">
        <v>0.01</v>
      </c>
      <c r="CB10" s="25">
        <v>2.3E-3</v>
      </c>
      <c r="CC10" s="25">
        <v>2.5000000000000001E-3</v>
      </c>
      <c r="CD10" s="25">
        <f t="array" ref="CD10:CD13">BT15</f>
        <v>2E-3</v>
      </c>
      <c r="CE10" s="25">
        <v>1E-3</v>
      </c>
      <c r="CG10" s="16" t="str">
        <v>Corporate 5% 30 Jun 2018</v>
      </c>
      <c r="CH10" s="14">
        <v>2.1575890410958903E-2</v>
      </c>
      <c r="CI10" s="14">
        <v>3.9692501999999998E-3</v>
      </c>
      <c r="CJ10" s="14">
        <v>-4.2858000000000007E-2</v>
      </c>
      <c r="CK10" s="14">
        <v>-1.00595882E-2</v>
      </c>
      <c r="CL10" s="14">
        <v>-1.0928625000000001E-2</v>
      </c>
      <c r="CM10" s="14">
        <v>-8.7543200000000012E-3</v>
      </c>
      <c r="CN10" s="14">
        <v>-4.3885800000000004E-3</v>
      </c>
      <c r="CO10" s="14">
        <v>8.1300191006689893E-3</v>
      </c>
      <c r="CP10" s="14">
        <v>-4.3313953488372123E-2</v>
      </c>
      <c r="CQ10" s="14"/>
      <c r="CR10" s="1" t="str">
        <v>Corporate 5% 30 Jun 2018</v>
      </c>
      <c r="CS10" s="14">
        <v>-1.0787945205479449E-3</v>
      </c>
      <c r="CT10" s="14">
        <v>-1.9846250999999994E-4</v>
      </c>
      <c r="CU10" s="14">
        <v>2.1429000000000001E-3</v>
      </c>
      <c r="CV10" s="14">
        <v>5.0297940999999996E-4</v>
      </c>
      <c r="CW10" s="14">
        <v>5.4643124999999987E-4</v>
      </c>
      <c r="CX10" s="14">
        <v>4.3771599999999994E-4</v>
      </c>
      <c r="CY10" s="14">
        <v>2.1942899999999996E-4</v>
      </c>
      <c r="CZ10" s="14">
        <v>-4.0650095503344936E-4</v>
      </c>
      <c r="DA10" s="14">
        <v>2.1656976744186054E-3</v>
      </c>
      <c r="DC10" s="1">
        <v>4</v>
      </c>
      <c r="DD10" s="12">
        <v>3.4700000000000002E-2</v>
      </c>
      <c r="DE10" s="25">
        <v>4.7899999999999998E-2</v>
      </c>
      <c r="DF10" s="25">
        <v>4.8899999999999999E-2</v>
      </c>
      <c r="DG10" s="25">
        <v>5.0900000000000001E-2</v>
      </c>
      <c r="DH10" s="25">
        <v>5.1900000000000002E-2</v>
      </c>
      <c r="DJ10" s="15" t="s">
        <v>53</v>
      </c>
      <c r="DK10" s="15" cm="1">
        <f t="array" ref="DK10">SUM((_xlfn.FLOOR.MATH(_xlfn.SEQUENCE($E$10*2-1)/($E$10*2-1))*100+$M$10*100)*(1+($DD$7:$DD$15+0.01)/2)^-$DC$7:$DC$15)</f>
        <v>99.257256810076242</v>
      </c>
      <c r="DL10" s="14">
        <v>-3.9149232510331096E-2</v>
      </c>
      <c r="DM10" s="14"/>
      <c r="DN10" s="1" t="s">
        <v>60</v>
      </c>
      <c r="DO10" s="14">
        <v>4.3340990600432535E-3</v>
      </c>
      <c r="DQ10" s="1" t="str">
        <v>Corporate 5% 30 Jun 2018</v>
      </c>
      <c r="DR10" s="49">
        <f>DL16</f>
        <v>2.4224866886810338E-2</v>
      </c>
      <c r="DS10" s="49" cm="1">
        <f t="array" ref="DS10:DY10">TRANSPOSE(DL8:DL14)</f>
        <v>-3.3873330400937367E-3</v>
      </c>
      <c r="DT10" s="49">
        <v>4.3340990600432535E-3</v>
      </c>
      <c r="DU10" s="49">
        <v>-3.9149232510331096E-2</v>
      </c>
      <c r="DV10" s="49">
        <v>-8.616084735528733E-3</v>
      </c>
      <c r="DW10" s="49">
        <v>-9.6211952963612644E-3</v>
      </c>
      <c r="DX10" s="49">
        <v>-7.4393531005974879E-3</v>
      </c>
      <c r="DY10" s="49">
        <v>-3.7915333821010862E-3</v>
      </c>
      <c r="DZ10" s="49">
        <v>-4.3445766118159812E-2</v>
      </c>
      <c r="EA10" s="49"/>
      <c r="EB10" s="1" t="str">
        <v>Corporate 5% 30 Jun 2018</v>
      </c>
      <c r="EC10" s="14">
        <v>-1.2112433443405167E-3</v>
      </c>
      <c r="ED10" s="14">
        <v>1.6936665200468679E-4</v>
      </c>
      <c r="EE10" s="14">
        <v>-2.1670495300216264E-4</v>
      </c>
      <c r="EF10" s="14">
        <v>1.9574616255165545E-3</v>
      </c>
      <c r="EG10" s="14">
        <v>4.3080423677643653E-4</v>
      </c>
      <c r="EH10" s="14">
        <v>4.8105976481806309E-4</v>
      </c>
      <c r="EI10" s="14">
        <v>3.7196765502987432E-4</v>
      </c>
      <c r="EJ10" s="14">
        <v>1.8957666910505427E-4</v>
      </c>
      <c r="EK10" s="14">
        <v>2.17228830590799E-3</v>
      </c>
    </row>
    <row r="11" spans="1:141" ht="14.4" customHeight="1" x14ac:dyDescent="0.3">
      <c r="A11" s="1" t="str">
        <v>Corporate 7% 30 Jun 2023</v>
      </c>
      <c r="B11" s="7" t="s">
        <v>20</v>
      </c>
      <c r="C11" s="8">
        <v>7.0000000000000007E-2</v>
      </c>
      <c r="D11" s="9">
        <v>45107</v>
      </c>
      <c r="E11" s="10">
        <v>10</v>
      </c>
      <c r="F11" s="9" t="s">
        <v>23</v>
      </c>
      <c r="G11" s="7">
        <v>7.4</v>
      </c>
      <c r="H11" s="7">
        <v>68.36</v>
      </c>
      <c r="I11" s="12">
        <v>4.8500000000000001E-2</v>
      </c>
      <c r="J11" s="11">
        <v>116.91</v>
      </c>
      <c r="K11" s="12">
        <v>6.1199999999999997E-2</v>
      </c>
      <c r="L11" s="7">
        <v>106.23</v>
      </c>
      <c r="M11" s="13">
        <v>3.5000000000000003E-2</v>
      </c>
      <c r="N11" s="14">
        <v>-9.1352322299204425E-2</v>
      </c>
      <c r="O11" s="14">
        <v>2.9937558805919088E-2</v>
      </c>
      <c r="P11" s="14">
        <v>-6.141476349328534E-2</v>
      </c>
      <c r="R11" s="8">
        <v>0.2</v>
      </c>
      <c r="S11" s="15">
        <v>1.4800000000000002</v>
      </c>
      <c r="T11" s="15">
        <v>13.672000000000001</v>
      </c>
      <c r="U11" s="14">
        <v>-1.2282952698657069E-2</v>
      </c>
      <c r="V11" s="8">
        <v>0.15</v>
      </c>
      <c r="W11" s="15">
        <v>1.1100000000000001</v>
      </c>
      <c r="X11" s="15">
        <v>10.254</v>
      </c>
      <c r="Y11" s="14">
        <v>-9.2122145239928004E-3</v>
      </c>
      <c r="AA11" s="101" t="s">
        <v>28</v>
      </c>
      <c r="AB11" s="101"/>
      <c r="AC11" s="101"/>
      <c r="AD11" s="101"/>
      <c r="AE11" s="101"/>
      <c r="AF11" s="101"/>
      <c r="AG11" s="101"/>
      <c r="AH11" s="101"/>
      <c r="AI11" s="101"/>
      <c r="AJ11" s="101"/>
      <c r="AK11" s="101"/>
      <c r="AL11" s="101"/>
      <c r="AM11" s="101"/>
      <c r="AO11" s="102" t="s">
        <v>86</v>
      </c>
      <c r="AP11" s="102"/>
      <c r="AQ11" s="102"/>
      <c r="AR11" s="102"/>
      <c r="AS11" s="102"/>
      <c r="AT11" s="102"/>
      <c r="AU11" s="102"/>
      <c r="AV11" s="102"/>
      <c r="AW11" s="102"/>
      <c r="AY11" s="1" t="s">
        <v>23</v>
      </c>
      <c r="AZ11" s="14" t="s">
        <v>20</v>
      </c>
      <c r="BA11" s="17" cm="1">
        <f t="array" ref="BA11">SUM(IF((($B$7:$B$13=$AZ11)+($AZ11="Total"))*(($F$7:$F$13=$AY11)+($AY11="Total")),$R$7:$R$13))</f>
        <v>0.2</v>
      </c>
      <c r="BB11" s="17" cm="1">
        <f t="array" ref="BB11">SUM(IF((($B$7:$B$13=$AZ11)+($AZ11="Total"))*(($F$7:$F$13=$AY11)+($AY11="Total")),$V$7:$V$13))</f>
        <v>0.15</v>
      </c>
      <c r="BC11" s="14">
        <v>-6.1414763493285347E-2</v>
      </c>
      <c r="BD11" s="14">
        <v>-6.141476349328534E-2</v>
      </c>
      <c r="BE11" s="46">
        <v>7.4</v>
      </c>
      <c r="BF11" s="46">
        <v>7.4000000000000012</v>
      </c>
      <c r="BJ11" s="5"/>
      <c r="BK11" s="14" t="s">
        <v>20</v>
      </c>
      <c r="BL11" s="5"/>
      <c r="BM11" s="5"/>
      <c r="BN11" s="5"/>
      <c r="BO11" s="14">
        <f>(BA11-BB11)*(BD11-BD10)</f>
        <v>-4.9057165912556129E-4</v>
      </c>
      <c r="BP11" s="14">
        <f>BA11*(BC11-BD11)</f>
        <v>-1.3877787807814458E-18</v>
      </c>
      <c r="BQ11" s="14">
        <v>-4.905716591255627E-4</v>
      </c>
      <c r="BS11" s="1" t="s">
        <v>35</v>
      </c>
      <c r="BT11" s="12">
        <v>0.01</v>
      </c>
      <c r="BU11" s="14">
        <f t="shared" ref="BU11:BU13" si="0">BT11*-BU$5</f>
        <v>-4.4000000000000004E-2</v>
      </c>
      <c r="BV11" s="78">
        <f t="shared" ref="BV11:BV13" si="1">BT11^2*0.5*BV$5</f>
        <v>1.142E-3</v>
      </c>
      <c r="BW11" s="14">
        <f t="shared" ref="BW11:BW13" si="2">SUM(BU11:BV11)</f>
        <v>-4.2858000000000007E-2</v>
      </c>
      <c r="BY11" s="1" t="str">
        <v>Corporate 7% 30 Jun 2023</v>
      </c>
      <c r="BZ11" s="25">
        <v>-4.0000000000000002E-4</v>
      </c>
      <c r="CA11" s="25">
        <v>0.01</v>
      </c>
      <c r="CB11" s="25">
        <v>5.9999999999999995E-4</v>
      </c>
      <c r="CC11" s="25">
        <v>5.9999999999999995E-4</v>
      </c>
      <c r="CD11" s="25">
        <v>2E-3</v>
      </c>
      <c r="CE11" s="25">
        <v>0</v>
      </c>
      <c r="CG11" s="1" t="str">
        <v>Corporate 7% 30 Jun 2023</v>
      </c>
      <c r="CH11" s="14">
        <v>2.4449315068493148E-2</v>
      </c>
      <c r="CI11" s="14">
        <v>2.9654688000000005E-3</v>
      </c>
      <c r="CJ11" s="14">
        <v>-7.0582000000000006E-2</v>
      </c>
      <c r="CK11" s="14">
        <v>-4.4276951999999998E-3</v>
      </c>
      <c r="CL11" s="14">
        <v>-4.4276951999999998E-3</v>
      </c>
      <c r="CM11" s="14">
        <v>-1.4663280000000001E-2</v>
      </c>
      <c r="CN11" s="14">
        <v>0</v>
      </c>
      <c r="CO11" s="14">
        <v>5.2711230382215118E-3</v>
      </c>
      <c r="CP11" s="14">
        <v>-6.141476349328534E-2</v>
      </c>
      <c r="CQ11" s="14"/>
      <c r="CR11" s="1" t="str">
        <v>Corporate 7% 30 Jun 2023</v>
      </c>
      <c r="CS11" s="14">
        <v>1.2224657534246578E-3</v>
      </c>
      <c r="CT11" s="14">
        <v>1.4827344000000007E-4</v>
      </c>
      <c r="CU11" s="14">
        <v>-3.5291000000000016E-3</v>
      </c>
      <c r="CV11" s="14">
        <v>-2.2138476000000006E-4</v>
      </c>
      <c r="CW11" s="14">
        <v>-2.2138476000000006E-4</v>
      </c>
      <c r="CX11" s="14">
        <v>-7.3316400000000023E-4</v>
      </c>
      <c r="CY11" s="14">
        <v>0</v>
      </c>
      <c r="CZ11" s="14">
        <v>2.635561519110757E-4</v>
      </c>
      <c r="DA11" s="14">
        <v>-3.0707381746642682E-3</v>
      </c>
      <c r="DC11" s="1">
        <v>5</v>
      </c>
      <c r="DD11" s="12">
        <v>3.6799999999999999E-2</v>
      </c>
      <c r="DE11" s="25">
        <v>4.9799999999999997E-2</v>
      </c>
      <c r="DF11" s="25">
        <v>5.1130000000000002E-2</v>
      </c>
      <c r="DG11" s="25">
        <v>5.3129999999999997E-2</v>
      </c>
      <c r="DH11" s="25">
        <v>5.4100000000000002E-2</v>
      </c>
      <c r="DJ11" s="15" t="s">
        <v>52</v>
      </c>
      <c r="DK11" s="15" cm="1">
        <f t="array" ref="DK11">SUM((_xlfn.FLOOR.MATH(_xlfn.SEQUENCE($E$10*2-1)/($E$10*2-1))*100+$M$10*100)*(1+($DE$7:$DE$15)/2)^-$DC$7:$DC$15)</f>
        <v>98.368079092837689</v>
      </c>
      <c r="DL11" s="14">
        <v>-8.616084735528733E-3</v>
      </c>
      <c r="DM11" s="14"/>
      <c r="DN11" s="34" t="s">
        <v>61</v>
      </c>
      <c r="DO11" s="35">
        <f>SUM(_xlfn.ANCHORARRAY(DO12))</f>
        <v>-5.7386512542221088E-2</v>
      </c>
      <c r="DQ11" s="1" t="str">
        <v>Corporate 7% 30 Jun 2023</v>
      </c>
      <c r="DR11" s="50">
        <v>2.9899999999999999E-2</v>
      </c>
      <c r="DS11" s="50">
        <v>-7.1999999999999998E-3</v>
      </c>
      <c r="DT11" s="50">
        <v>4.4000000000000003E-3</v>
      </c>
      <c r="DU11" s="50">
        <v>-6.7599999999999993E-2</v>
      </c>
      <c r="DV11" s="50">
        <v>-3.8999999999999998E-3</v>
      </c>
      <c r="DW11" s="50">
        <v>-4.4000000000000003E-3</v>
      </c>
      <c r="DX11" s="50">
        <v>-1.2699999999999999E-2</v>
      </c>
      <c r="DY11" s="50">
        <v>0</v>
      </c>
      <c r="DZ11" s="49">
        <v>-6.1499999999999999E-2</v>
      </c>
      <c r="EA11" s="49"/>
      <c r="EB11" s="1" t="str">
        <v>Corporate 7% 30 Jun 2023</v>
      </c>
      <c r="EC11" s="14">
        <v>1.4950000000000005E-3</v>
      </c>
      <c r="ED11" s="14">
        <v>-3.6000000000000013E-4</v>
      </c>
      <c r="EE11" s="14">
        <v>2.2000000000000009E-4</v>
      </c>
      <c r="EF11" s="14">
        <v>-3.3800000000000006E-3</v>
      </c>
      <c r="EG11" s="14">
        <v>-1.9500000000000005E-4</v>
      </c>
      <c r="EH11" s="14">
        <v>-2.2000000000000009E-4</v>
      </c>
      <c r="EI11" s="14">
        <v>-6.3500000000000015E-4</v>
      </c>
      <c r="EJ11" s="14">
        <v>0</v>
      </c>
      <c r="EK11" s="14">
        <v>-3.0750000000000009E-3</v>
      </c>
    </row>
    <row r="12" spans="1:141" x14ac:dyDescent="0.3">
      <c r="A12" s="1" t="str">
        <v>Corporate 6% 30 Jun 2028</v>
      </c>
      <c r="B12" s="7" t="s">
        <v>20</v>
      </c>
      <c r="C12" s="8">
        <v>0.06</v>
      </c>
      <c r="D12" s="9">
        <v>46934</v>
      </c>
      <c r="E12" s="10">
        <v>15</v>
      </c>
      <c r="F12" s="9" t="s">
        <v>24</v>
      </c>
      <c r="G12" s="7">
        <v>10.06</v>
      </c>
      <c r="H12" s="7">
        <v>131.57</v>
      </c>
      <c r="I12" s="12">
        <v>5.16E-2</v>
      </c>
      <c r="J12" s="11">
        <v>108.74</v>
      </c>
      <c r="K12" s="12">
        <v>6.0699999999999997E-2</v>
      </c>
      <c r="L12" s="7">
        <v>99.37</v>
      </c>
      <c r="M12" s="13">
        <v>0.03</v>
      </c>
      <c r="N12" s="14">
        <v>-8.6168843112010229E-2</v>
      </c>
      <c r="O12" s="14">
        <v>2.758874379253265E-2</v>
      </c>
      <c r="P12" s="14">
        <v>-5.858009931947758E-2</v>
      </c>
      <c r="R12" s="8">
        <v>0</v>
      </c>
      <c r="S12" s="15">
        <v>0</v>
      </c>
      <c r="T12" s="15">
        <v>0</v>
      </c>
      <c r="U12" s="14">
        <v>0</v>
      </c>
      <c r="V12" s="8">
        <v>0.15</v>
      </c>
      <c r="W12" s="15">
        <v>1.5090000000000001</v>
      </c>
      <c r="X12" s="15">
        <v>19.735499999999998</v>
      </c>
      <c r="Y12" s="14">
        <v>-8.7870148979216373E-3</v>
      </c>
      <c r="AY12" s="1" t="s">
        <v>23</v>
      </c>
      <c r="AZ12" s="14" t="s">
        <v>8</v>
      </c>
      <c r="BA12" s="17" cm="1">
        <f t="array" ref="BA12">SUM(IF((($B$7:$B$13=$AZ12)+($AZ12="Total"))*(($F$7:$F$13=$AY12)+($AY12="Total")),$R$7:$R$13))</f>
        <v>0.30000000000000004</v>
      </c>
      <c r="BB12" s="17" cm="1">
        <f t="array" ref="BB12">SUM(IF((($B$7:$B$13=$AZ12)+($AZ12="Total"))*(($F$7:$F$13=$AY12)+($AY12="Total")),$V$7:$V$13))</f>
        <v>0.35</v>
      </c>
      <c r="BC12" s="14">
        <v>-5.8144285765781595E-2</v>
      </c>
      <c r="BD12" s="14">
        <v>-5.5808230246136077E-2</v>
      </c>
      <c r="BE12" s="46">
        <v>7.4233333333333329</v>
      </c>
      <c r="BF12" s="46">
        <v>7.44</v>
      </c>
      <c r="BG12" s="45">
        <f>($BD$16-0.15%)/$BF$16*$BE12+0.15%</f>
        <v>-4.5332067474785624E-2</v>
      </c>
      <c r="BH12" s="45">
        <f>($BD$16-0.15%)/$BF$16*$BF12+0.15%</f>
        <v>-4.5437213562515281E-2</v>
      </c>
      <c r="BK12" s="14" t="s">
        <v>8</v>
      </c>
      <c r="BL12" s="14">
        <f>BA12*BG12-BB12*BH12</f>
        <v>2.3034045044446581E-3</v>
      </c>
      <c r="BM12" s="14">
        <f>BN12-BL12</f>
        <v>2.7676201109404436E-4</v>
      </c>
      <c r="BN12" s="14">
        <f>(BA12-BB12)*BD10</f>
        <v>2.5801665155387025E-3</v>
      </c>
      <c r="BQ12" s="14">
        <v>2.5801665155387025E-3</v>
      </c>
      <c r="BS12" s="1" t="s">
        <v>36</v>
      </c>
      <c r="BT12" s="12">
        <v>2.3E-3</v>
      </c>
      <c r="BU12" s="14">
        <f t="shared" si="0"/>
        <v>-1.0120000000000001E-2</v>
      </c>
      <c r="BV12" s="78">
        <f t="shared" si="1"/>
        <v>6.0411800000000003E-5</v>
      </c>
      <c r="BW12" s="14">
        <f t="shared" si="2"/>
        <v>-1.00595882E-2</v>
      </c>
      <c r="BY12" s="1" t="str">
        <v>Corporate 6% 30 Jun 2028</v>
      </c>
      <c r="BZ12" s="25">
        <v>-2.0000000000000001E-4</v>
      </c>
      <c r="CA12" s="25">
        <v>0.01</v>
      </c>
      <c r="CB12" s="25">
        <v>-1E-3</v>
      </c>
      <c r="CC12" s="25">
        <v>-1.6999999999999999E-3</v>
      </c>
      <c r="CD12" s="25">
        <v>2E-3</v>
      </c>
      <c r="CE12" s="25">
        <v>0</v>
      </c>
      <c r="CG12" s="1" t="str">
        <v>Corporate 6% 30 Jun 2028</v>
      </c>
      <c r="CH12" s="14">
        <v>2.601205479452055E-2</v>
      </c>
      <c r="CI12" s="14">
        <v>2.0146314000000004E-3</v>
      </c>
      <c r="CJ12" s="14">
        <v>-9.4021500000000008E-2</v>
      </c>
      <c r="CK12" s="14">
        <v>1.0125785000000002E-2</v>
      </c>
      <c r="CL12" s="14">
        <v>1.729211865E-2</v>
      </c>
      <c r="CM12" s="14">
        <v>-1.9856860000000004E-2</v>
      </c>
      <c r="CN12" s="14">
        <v>0</v>
      </c>
      <c r="CO12" s="14">
        <v>-1.463291639981143E-4</v>
      </c>
      <c r="CP12" s="14">
        <v>-5.858009931947758E-2</v>
      </c>
      <c r="CQ12" s="14"/>
      <c r="CR12" s="1" t="str">
        <v>Corporate 6% 30 Jun 2028</v>
      </c>
      <c r="CS12" s="14">
        <v>-3.9018082191780825E-3</v>
      </c>
      <c r="CT12" s="14">
        <v>-3.0219471000000002E-4</v>
      </c>
      <c r="CU12" s="14">
        <v>1.4103225E-2</v>
      </c>
      <c r="CV12" s="14">
        <v>-1.5188677500000002E-3</v>
      </c>
      <c r="CW12" s="14">
        <v>-2.5938177975000001E-3</v>
      </c>
      <c r="CX12" s="14">
        <v>2.9785290000000006E-3</v>
      </c>
      <c r="CY12" s="14">
        <v>0</v>
      </c>
      <c r="CZ12" s="14">
        <v>2.1949374599717144E-5</v>
      </c>
      <c r="DA12" s="14">
        <v>8.7870148979216373E-3</v>
      </c>
      <c r="DC12" s="1">
        <v>6</v>
      </c>
      <c r="DD12" s="12">
        <v>3.85E-2</v>
      </c>
      <c r="DE12" s="25">
        <v>5.1299999999999998E-2</v>
      </c>
      <c r="DF12" s="25">
        <v>5.2970000000000003E-2</v>
      </c>
      <c r="DG12" s="25">
        <v>5.4969999999999998E-2</v>
      </c>
      <c r="DH12" s="25">
        <v>5.5999999999999994E-2</v>
      </c>
      <c r="DJ12" s="15" t="s">
        <v>37</v>
      </c>
      <c r="DK12" s="15" cm="1">
        <f t="array" ref="DK12">SUM((_xlfn.FLOOR.MATH(_xlfn.SEQUENCE($E$10*2-1)/($E$10*2-1))*100+$M$10*100)*(1+($DF$7:$DF$15)/2)^-$DC$7:$DC$15)</f>
        <v>97.375174225566809</v>
      </c>
      <c r="DL12" s="14">
        <v>-9.6211952963612644E-3</v>
      </c>
      <c r="DM12" s="14"/>
      <c r="DN12" s="1" t="s">
        <v>35</v>
      </c>
      <c r="DO12" s="14" cm="1">
        <f t="array" ref="DO12:DO14">DL10:DL12</f>
        <v>-3.9149232510331096E-2</v>
      </c>
      <c r="DQ12" s="1" t="str">
        <v>Corporate 6% 30 Jun 2028</v>
      </c>
      <c r="DR12" s="50">
        <v>2.76E-2</v>
      </c>
      <c r="DS12" s="50">
        <v>-3.8E-3</v>
      </c>
      <c r="DT12" s="50">
        <v>4.1999999999999997E-3</v>
      </c>
      <c r="DU12" s="50">
        <v>-9.1300000000000006E-2</v>
      </c>
      <c r="DV12" s="50">
        <v>8.2000000000000007E-3</v>
      </c>
      <c r="DW12" s="50">
        <v>1.41E-2</v>
      </c>
      <c r="DX12" s="50">
        <v>-1.77E-2</v>
      </c>
      <c r="DY12" s="50">
        <v>0</v>
      </c>
      <c r="DZ12" s="49">
        <v>-5.8700000000000009E-2</v>
      </c>
      <c r="EA12" s="49"/>
      <c r="EB12" s="1" t="str">
        <v>Corporate 6% 30 Jun 2028</v>
      </c>
      <c r="EC12" s="14">
        <v>-4.1399999999999996E-3</v>
      </c>
      <c r="ED12" s="14">
        <v>5.6999999999999998E-4</v>
      </c>
      <c r="EE12" s="14">
        <v>-6.2999999999999992E-4</v>
      </c>
      <c r="EF12" s="14">
        <v>1.3695000000000001E-2</v>
      </c>
      <c r="EG12" s="14">
        <v>-1.23E-3</v>
      </c>
      <c r="EH12" s="14">
        <v>-2.1149999999999997E-3</v>
      </c>
      <c r="EI12" s="14">
        <v>2.6549999999999998E-3</v>
      </c>
      <c r="EJ12" s="14">
        <v>0</v>
      </c>
      <c r="EK12" s="14">
        <v>8.8050000000000003E-3</v>
      </c>
    </row>
    <row r="13" spans="1:141" ht="14.4" thickBot="1" x14ac:dyDescent="0.35">
      <c r="A13" s="1" t="str">
        <v>Corporate 6% 30 Jun 2028</v>
      </c>
      <c r="B13" s="7" t="s">
        <v>20</v>
      </c>
      <c r="C13" s="8">
        <v>0.06</v>
      </c>
      <c r="D13" s="9">
        <v>46934</v>
      </c>
      <c r="E13" s="10">
        <v>15</v>
      </c>
      <c r="F13" s="9" t="s">
        <v>24</v>
      </c>
      <c r="G13" s="7">
        <v>10.06</v>
      </c>
      <c r="H13" s="7">
        <v>131.57</v>
      </c>
      <c r="I13" s="12">
        <v>5.16E-2</v>
      </c>
      <c r="J13" s="11">
        <v>108.74</v>
      </c>
      <c r="K13" s="12">
        <v>6.0199999999999997E-2</v>
      </c>
      <c r="L13" s="7">
        <v>99.85</v>
      </c>
      <c r="M13" s="13">
        <v>0.03</v>
      </c>
      <c r="N13" s="14">
        <v>-8.1754644105205054E-2</v>
      </c>
      <c r="O13" s="14">
        <v>2.758874379253265E-2</v>
      </c>
      <c r="P13" s="14">
        <v>-5.4165900312672405E-2</v>
      </c>
      <c r="R13" s="8">
        <v>0.3</v>
      </c>
      <c r="S13" s="15">
        <v>3.0180000000000002</v>
      </c>
      <c r="T13" s="15">
        <v>39.470999999999997</v>
      </c>
      <c r="U13" s="14">
        <v>-1.624977009380172E-2</v>
      </c>
      <c r="V13" s="8">
        <v>0</v>
      </c>
      <c r="W13" s="15">
        <v>0</v>
      </c>
      <c r="X13" s="15">
        <v>0</v>
      </c>
      <c r="Y13" s="14">
        <v>0</v>
      </c>
      <c r="AB13" s="103" t="s">
        <v>26</v>
      </c>
      <c r="AC13" s="103"/>
      <c r="AD13" s="103"/>
      <c r="AE13" s="103"/>
      <c r="AF13" s="103" t="s">
        <v>29</v>
      </c>
      <c r="AG13" s="103"/>
      <c r="AH13" s="103"/>
      <c r="AI13" s="103"/>
      <c r="AJ13" s="103" t="s">
        <v>2</v>
      </c>
      <c r="AK13" s="103"/>
      <c r="AL13" s="103"/>
      <c r="AM13" s="103"/>
      <c r="AP13" s="103" t="s">
        <v>32</v>
      </c>
      <c r="AQ13" s="103"/>
      <c r="AR13" s="103"/>
      <c r="AS13" s="103"/>
      <c r="AT13" s="103" t="s">
        <v>12</v>
      </c>
      <c r="AU13" s="103"/>
      <c r="AV13" s="103"/>
      <c r="AW13" s="103"/>
      <c r="AY13" s="1" t="s">
        <v>24</v>
      </c>
      <c r="AZ13" s="14" t="s">
        <v>19</v>
      </c>
      <c r="BA13" s="17" cm="1">
        <f t="array" ref="BA13">SUM(IF((($B$7:$B$13=$AZ13)+($AZ13="Total"))*(($F$7:$F$13=$AY13)+($AY13="Total")),$R$7:$R$13))</f>
        <v>0.2</v>
      </c>
      <c r="BB13" s="17" cm="1">
        <f t="array" ref="BB13">SUM(IF((($B$7:$B$13=$AZ13)+($AZ13="Total"))*(($F$7:$F$13=$AY13)+($AY13="Total")),$V$7:$V$13))</f>
        <v>0.15</v>
      </c>
      <c r="BC13" s="14">
        <v>-4.3740705100166186E-2</v>
      </c>
      <c r="BD13" s="14">
        <v>-4.3740705100166193E-2</v>
      </c>
      <c r="BE13" s="46">
        <v>10.210000000000001</v>
      </c>
      <c r="BF13" s="42">
        <v>10.210000000000001</v>
      </c>
      <c r="BJ13" s="1" t="s">
        <v>24</v>
      </c>
      <c r="BK13" s="14" t="s">
        <v>19</v>
      </c>
      <c r="BL13" s="5"/>
      <c r="BM13" s="5"/>
      <c r="BN13" s="5"/>
      <c r="BO13" s="5"/>
      <c r="BP13" s="14">
        <f>BA13*(BC13-BD13)</f>
        <v>1.3877787807814458E-18</v>
      </c>
      <c r="BQ13" s="14">
        <v>1.3877787807814458E-18</v>
      </c>
      <c r="BS13" s="1" t="s">
        <v>37</v>
      </c>
      <c r="BT13" s="12">
        <v>2.5000000000000001E-3</v>
      </c>
      <c r="BU13" s="14">
        <f t="shared" si="0"/>
        <v>-1.1000000000000001E-2</v>
      </c>
      <c r="BV13" s="78">
        <f t="shared" si="1"/>
        <v>7.1375E-5</v>
      </c>
      <c r="BW13" s="14">
        <f t="shared" si="2"/>
        <v>-1.0928625000000001E-2</v>
      </c>
      <c r="BY13" s="1" t="str">
        <v>Corporate 6% 30 Jun 2028</v>
      </c>
      <c r="BZ13" s="25">
        <v>-2.0000000000000001E-4</v>
      </c>
      <c r="CA13" s="25">
        <v>0.01</v>
      </c>
      <c r="CB13" s="25">
        <v>-1E-3</v>
      </c>
      <c r="CC13" s="25">
        <v>-1.6999999999999999E-3</v>
      </c>
      <c r="CD13" s="25">
        <v>2E-3</v>
      </c>
      <c r="CE13" s="25">
        <v>-5.0000000000000001E-4</v>
      </c>
      <c r="CG13" s="1" t="str">
        <v>Corporate 6% 30 Jun 2028</v>
      </c>
      <c r="CH13" s="14">
        <v>2.601205479452055E-2</v>
      </c>
      <c r="CI13" s="14">
        <v>2.0146314000000004E-3</v>
      </c>
      <c r="CJ13" s="14">
        <v>-9.4021500000000008E-2</v>
      </c>
      <c r="CK13" s="14">
        <v>1.0125785000000002E-2</v>
      </c>
      <c r="CL13" s="14">
        <v>1.729211865E-2</v>
      </c>
      <c r="CM13" s="14">
        <v>-1.9856860000000004E-2</v>
      </c>
      <c r="CN13" s="14">
        <v>5.0464462500000003E-3</v>
      </c>
      <c r="CO13" s="14">
        <v>-7.7857640719294213E-4</v>
      </c>
      <c r="CP13" s="14">
        <v>-5.4165900312672405E-2</v>
      </c>
      <c r="CQ13" s="14"/>
      <c r="CR13" s="1" t="str">
        <v>Corporate 6% 30 Jun 2028</v>
      </c>
      <c r="CS13" s="14">
        <v>7.8036164383561649E-3</v>
      </c>
      <c r="CT13" s="14">
        <v>6.0438942000000005E-4</v>
      </c>
      <c r="CU13" s="14">
        <v>-2.8206450000000001E-2</v>
      </c>
      <c r="CV13" s="14">
        <v>3.0377355000000003E-3</v>
      </c>
      <c r="CW13" s="14">
        <v>5.1876355950000001E-3</v>
      </c>
      <c r="CX13" s="14">
        <v>-5.9570580000000012E-3</v>
      </c>
      <c r="CY13" s="14">
        <v>1.513933875E-3</v>
      </c>
      <c r="CZ13" s="14">
        <v>-2.3357292215788264E-4</v>
      </c>
      <c r="DA13" s="14">
        <v>-1.624977009380172E-2</v>
      </c>
      <c r="DC13" s="1">
        <v>7</v>
      </c>
      <c r="DD13" s="12">
        <v>0.04</v>
      </c>
      <c r="DE13" s="25">
        <v>5.2600000000000001E-2</v>
      </c>
      <c r="DF13" s="25">
        <v>5.4600000000000003E-2</v>
      </c>
      <c r="DG13" s="25">
        <v>5.6599999999999998E-2</v>
      </c>
      <c r="DH13" s="25">
        <v>5.7599999999999998E-2</v>
      </c>
      <c r="DJ13" s="15" t="s">
        <v>67</v>
      </c>
      <c r="DK13" s="15" cm="1">
        <f t="array" ref="DK13">SUM((_xlfn.FLOOR.MATH(_xlfn.SEQUENCE($E$10*2-1)/($E$10*2-1))*100+$M$10*100)*(1+($DG$7:$DG$15)/2)^-$DC$7:$DC$15)</f>
        <v>96.607434908839338</v>
      </c>
      <c r="DL13" s="14">
        <v>-7.4393531005974879E-3</v>
      </c>
      <c r="DM13" s="14"/>
      <c r="DN13" s="1" t="s">
        <v>36</v>
      </c>
      <c r="DO13" s="14">
        <v>-8.616084735528733E-3</v>
      </c>
      <c r="DQ13" s="1" t="str">
        <v>Corporate 6% 30 Jun 2028</v>
      </c>
      <c r="DR13" s="50">
        <v>2.76E-2</v>
      </c>
      <c r="DS13" s="50">
        <v>-3.8E-3</v>
      </c>
      <c r="DT13" s="50">
        <v>4.1999999999999997E-3</v>
      </c>
      <c r="DU13" s="50">
        <v>-9.1300000000000006E-2</v>
      </c>
      <c r="DV13" s="50">
        <v>8.2000000000000007E-3</v>
      </c>
      <c r="DW13" s="50">
        <v>1.41E-2</v>
      </c>
      <c r="DX13" s="50">
        <v>-1.77E-2</v>
      </c>
      <c r="DY13" s="50">
        <v>4.4000000000000003E-3</v>
      </c>
      <c r="DZ13" s="49">
        <v>-5.4300000000000008E-2</v>
      </c>
      <c r="EA13" s="49"/>
      <c r="EB13" s="1" t="str">
        <v>Corporate 6% 30 Jun 2028</v>
      </c>
      <c r="EC13" s="14">
        <v>8.2799999999999992E-3</v>
      </c>
      <c r="ED13" s="14">
        <v>-1.14E-3</v>
      </c>
      <c r="EE13" s="14">
        <v>1.2599999999999998E-3</v>
      </c>
      <c r="EF13" s="14">
        <v>-2.7390000000000001E-2</v>
      </c>
      <c r="EG13" s="14">
        <v>2.4599999999999999E-3</v>
      </c>
      <c r="EH13" s="14">
        <v>4.2299999999999994E-3</v>
      </c>
      <c r="EI13" s="14">
        <v>-5.3099999999999996E-3</v>
      </c>
      <c r="EJ13" s="14">
        <v>1.32E-3</v>
      </c>
      <c r="EK13" s="14">
        <v>-1.6290000000000002E-2</v>
      </c>
    </row>
    <row r="14" spans="1:141" ht="14.4" thickBot="1" x14ac:dyDescent="0.35">
      <c r="R14" s="18" cm="1">
        <f t="array" ref="R14:Y14">_xlfn.BYCOL(R7:Y13,_xleta.SUM)</f>
        <v>1</v>
      </c>
      <c r="S14" s="19">
        <v>8.1690000000000005</v>
      </c>
      <c r="T14" s="19">
        <v>91.544999999999987</v>
      </c>
      <c r="U14" s="20">
        <v>-5.0251265178188648E-2</v>
      </c>
      <c r="V14" s="18">
        <v>1</v>
      </c>
      <c r="W14" s="19">
        <v>7.1885000000000012</v>
      </c>
      <c r="X14" s="19">
        <v>72.041499999999999</v>
      </c>
      <c r="Y14" s="20">
        <v>-4.8335440243914007E-2</v>
      </c>
      <c r="AA14" s="2" t="str" cm="1">
        <f t="array" ref="AA14:AE17">_xlfn.PIVOTBY(B7:B13,F7:F13,V7:V13,_xleta.SUM,,,-1,,-1)</f>
        <v/>
      </c>
      <c r="AB14" s="3" t="str">
        <v>Short</v>
      </c>
      <c r="AC14" s="3" t="str">
        <v>Mid</v>
      </c>
      <c r="AD14" s="3" t="str">
        <v>Long</v>
      </c>
      <c r="AE14" s="3" t="str">
        <v>Total</v>
      </c>
      <c r="AF14" s="3" t="s">
        <v>22</v>
      </c>
      <c r="AG14" s="3" t="s">
        <v>23</v>
      </c>
      <c r="AH14" s="3" t="s">
        <v>24</v>
      </c>
      <c r="AI14" s="3" t="s">
        <v>8</v>
      </c>
      <c r="AJ14" s="3" t="s">
        <v>22</v>
      </c>
      <c r="AK14" s="3" t="s">
        <v>23</v>
      </c>
      <c r="AL14" s="3" t="s">
        <v>24</v>
      </c>
      <c r="AM14" s="3" t="s">
        <v>8</v>
      </c>
      <c r="AP14" s="3" t="s">
        <v>22</v>
      </c>
      <c r="AQ14" s="3" t="s">
        <v>23</v>
      </c>
      <c r="AR14" s="3" t="s">
        <v>24</v>
      </c>
      <c r="AS14" s="3" t="s">
        <v>8</v>
      </c>
      <c r="AT14" s="3" t="s">
        <v>22</v>
      </c>
      <c r="AU14" s="3" t="s">
        <v>23</v>
      </c>
      <c r="AV14" s="3" t="s">
        <v>24</v>
      </c>
      <c r="AW14" s="3" t="s">
        <v>8</v>
      </c>
      <c r="AY14" s="1" t="s">
        <v>24</v>
      </c>
      <c r="AZ14" s="14" t="s">
        <v>20</v>
      </c>
      <c r="BA14" s="17" cm="1">
        <f t="array" ref="BA14">SUM(IF((($B$7:$B$13=$AZ14)+($AZ14="Total"))*(($F$7:$F$13=$AY14)+($AY14="Total")),$R$7:$R$13))</f>
        <v>0.3</v>
      </c>
      <c r="BB14" s="17" cm="1">
        <f t="array" ref="BB14">SUM(IF((($B$7:$B$13=$AZ14)+($AZ14="Total"))*(($F$7:$F$13=$AY14)+($AY14="Total")),$V$7:$V$13))</f>
        <v>0.15</v>
      </c>
      <c r="BC14" s="14">
        <v>-5.4165900312672405E-2</v>
      </c>
      <c r="BD14" s="14">
        <v>-5.8580099319477587E-2</v>
      </c>
      <c r="BE14" s="46">
        <v>10.06</v>
      </c>
      <c r="BF14" s="46">
        <v>10.06</v>
      </c>
      <c r="BJ14" s="5"/>
      <c r="BK14" s="14" t="s">
        <v>20</v>
      </c>
      <c r="BL14" s="5"/>
      <c r="BM14" s="5"/>
      <c r="BN14" s="5"/>
      <c r="BO14" s="14">
        <f>(BA14-BB14)*(BD14-BD13)</f>
        <v>-2.2259091328967091E-3</v>
      </c>
      <c r="BP14" s="14">
        <f>BA14*(BC14-BD14)</f>
        <v>1.3242597020415546E-3</v>
      </c>
      <c r="BQ14" s="14">
        <v>-9.0164943085515453E-4</v>
      </c>
      <c r="BS14" s="34" t="s">
        <v>62</v>
      </c>
      <c r="BT14" s="97">
        <f>SUM(BT15:BT16)</f>
        <v>3.0000000000000001E-3</v>
      </c>
      <c r="BU14" s="97"/>
      <c r="BV14" s="98"/>
      <c r="BW14" s="97">
        <f>SUM(BW15:BW16)</f>
        <v>-1.3142900000000002E-2</v>
      </c>
      <c r="CR14" s="16" t="s">
        <v>8</v>
      </c>
      <c r="CS14" s="24" cm="1">
        <f t="array" ref="CS14:DA14">_xlfn.BYCOL(_xlfn.ANCHORARRAY(CS7),_xleta.SUM)</f>
        <v>1.1216438356164401E-3</v>
      </c>
      <c r="CT14" s="24">
        <v>-3.4384549499999982E-4</v>
      </c>
      <c r="CU14" s="24">
        <v>-8.8298250000000029E-3</v>
      </c>
      <c r="CV14" s="24">
        <v>3.7717949650000002E-3</v>
      </c>
      <c r="CW14" s="24">
        <v>5.3411956225000003E-3</v>
      </c>
      <c r="CX14" s="24">
        <v>-3.2739770000000008E-3</v>
      </c>
      <c r="CY14" s="24">
        <v>1.733362875E-3</v>
      </c>
      <c r="CZ14" s="24">
        <v>-1.4361747373910852E-3</v>
      </c>
      <c r="DA14" s="47">
        <v>-1.9158249342746472E-3</v>
      </c>
      <c r="DC14" s="1">
        <v>8</v>
      </c>
      <c r="DD14" s="12">
        <v>4.1300000000000003E-2</v>
      </c>
      <c r="DE14" s="25">
        <v>5.3699999999999998E-2</v>
      </c>
      <c r="DF14" s="25">
        <v>5.6030000000000003E-2</v>
      </c>
      <c r="DG14" s="25">
        <v>5.8029999999999998E-2</v>
      </c>
      <c r="DH14" s="25">
        <v>5.9000000000000004E-2</v>
      </c>
      <c r="DJ14" s="15" t="s">
        <v>66</v>
      </c>
      <c r="DK14" s="15" cm="1">
        <f t="array" ref="DK14">SUM((_xlfn.FLOOR.MATH(_xlfn.SEQUENCE($E$10*2-1)/($E$10*2-1))*100+$M$10*100)*(1+$DH$7:$DH$15/2)^-$DC$7:$DC$15)</f>
        <v>96.216149644010343</v>
      </c>
      <c r="DL14" s="14">
        <v>-3.7915333821010862E-3</v>
      </c>
      <c r="DM14" s="14"/>
      <c r="DN14" s="1" t="s">
        <v>37</v>
      </c>
      <c r="DO14" s="14">
        <v>-9.6211952963612644E-3</v>
      </c>
      <c r="DR14" s="48"/>
      <c r="DS14" s="48"/>
      <c r="DT14" s="48"/>
      <c r="DU14" s="48"/>
      <c r="DV14" s="48"/>
      <c r="DW14" s="48"/>
      <c r="DX14" s="48"/>
      <c r="DY14" s="48"/>
      <c r="DZ14" s="48"/>
      <c r="EA14" s="48"/>
      <c r="EB14" s="16" t="s">
        <v>8</v>
      </c>
      <c r="EC14" s="24" cm="1">
        <f t="array" ref="EC14:EK14">_xlfn.BYCOL(EC7:EK13,_xleta.SUM)</f>
        <v>4.7375665565948296E-4</v>
      </c>
      <c r="ED14" s="24">
        <v>3.7936665200468691E-4</v>
      </c>
      <c r="EE14" s="24">
        <v>-3.6704953002162678E-5</v>
      </c>
      <c r="EF14" s="24">
        <v>-9.0125383744834482E-3</v>
      </c>
      <c r="EG14" s="24">
        <v>3.1408042367764366E-3</v>
      </c>
      <c r="EH14" s="24">
        <v>4.5060597648180628E-3</v>
      </c>
      <c r="EI14" s="24">
        <v>-2.9180323449701255E-3</v>
      </c>
      <c r="EJ14" s="24">
        <v>1.5095766691050542E-3</v>
      </c>
      <c r="EK14" s="47">
        <v>-1.9577116940920139E-3</v>
      </c>
    </row>
    <row r="15" spans="1:141" ht="14.4" thickBot="1" x14ac:dyDescent="0.35">
      <c r="R15" s="16"/>
      <c r="S15" s="16"/>
      <c r="T15" s="16"/>
      <c r="U15" s="16"/>
      <c r="V15" s="16"/>
      <c r="W15" s="16"/>
      <c r="X15" s="23" t="s">
        <v>16</v>
      </c>
      <c r="Y15" s="21">
        <f>U14-Y14</f>
        <v>-1.9158249342746403E-3</v>
      </c>
      <c r="AA15" s="1" t="str">
        <v>Government</v>
      </c>
      <c r="AB15" s="17">
        <v>0.2</v>
      </c>
      <c r="AC15" s="17">
        <v>0.2</v>
      </c>
      <c r="AD15" s="17">
        <v>0.15</v>
      </c>
      <c r="AE15" s="17">
        <v>0.55000000000000004</v>
      </c>
      <c r="AF15" s="15" cm="1">
        <f t="array" ref="AF15">SUM(IF(($B$7:$B$13=$AA15)*($F$7:$F$13=AB$6),$G$7:$G$13*$V$7:$V$13))</f>
        <v>0.88400000000000001</v>
      </c>
      <c r="AG15" s="15" cm="1">
        <f t="array" ref="AG15">SUM(IF(($B$7:$B$13=$AA15)*($F$7:$F$13=AC$6),$G$7:$G$13*$V$7:$V$13))</f>
        <v>1.494</v>
      </c>
      <c r="AH15" s="15" cm="1">
        <f t="array" ref="AH15">SUM(IF(($B$7:$B$13=$AA15)*($F$7:$F$13=AD$6),$G$7:$G$13*$V$7:$V$13))</f>
        <v>1.5315000000000001</v>
      </c>
      <c r="AI15" s="1" cm="1">
        <f t="array" ref="AI15">SUM(IF($B$7:$B$13=$AA15,$G$7:$G$13*$V$7:$V$13))</f>
        <v>3.9095000000000004</v>
      </c>
      <c r="AJ15" s="15" cm="1">
        <f t="array" ref="AJ15:AM17">AF15:AI17/AB15:AE17</f>
        <v>4.42</v>
      </c>
      <c r="AK15" s="15">
        <v>7.47</v>
      </c>
      <c r="AL15" s="15">
        <v>10.210000000000001</v>
      </c>
      <c r="AM15" s="15">
        <v>7.1081818181818184</v>
      </c>
      <c r="AO15" s="1" t="s">
        <v>19</v>
      </c>
      <c r="AP15" s="14" cm="1">
        <f t="array" ref="AP15">SUM(IF(($B$7:$B$13=$AO15)*($F$7:$F$13=AP$6),_xlfn.ANCHORARRAY($P$7)*$V$7:$V$13))</f>
        <v>-6.9573459715639944E-3</v>
      </c>
      <c r="AQ15" s="14" cm="1">
        <f t="array" ref="AQ15">SUM(IF(($B$7:$B$13=$AO15)*($F$7:$F$13=AQ$6),_xlfn.ANCHORARRAY($P$7)*$V$7:$V$13))</f>
        <v>-1.0320666062154824E-2</v>
      </c>
      <c r="AR15" s="14" cm="1">
        <f t="array" ref="AR15">SUM(IF(($B$7:$B$13=$AO15)*($F$7:$F$13=AR$6),_xlfn.ANCHORARRAY($P$7)*$V$7:$V$13))</f>
        <v>-6.5611057650249291E-3</v>
      </c>
      <c r="AS15" s="14" cm="1">
        <f t="array" ref="AS15">SUM(IF($B$7:$B$13=$AO15,_xlfn.ANCHORARRAY($P$7)*$V$7:$V$13))</f>
        <v>-2.3839117798743748E-2</v>
      </c>
      <c r="AT15" s="14" cm="1">
        <f t="array" ref="AT15:AW17">AP15:AS17/AB15:AE17</f>
        <v>-3.478672985781997E-2</v>
      </c>
      <c r="AU15" s="14">
        <v>-5.1603330310774118E-2</v>
      </c>
      <c r="AV15" s="14">
        <v>-4.3740705100166193E-2</v>
      </c>
      <c r="AW15" s="14">
        <v>-4.3343850543170449E-2</v>
      </c>
      <c r="AY15" s="1" t="s">
        <v>24</v>
      </c>
      <c r="AZ15" s="14" t="s">
        <v>8</v>
      </c>
      <c r="BA15" s="17" cm="1">
        <f t="array" ref="BA15">SUM(IF((($B$7:$B$13=$AZ15)+($AZ15="Total"))*(($F$7:$F$13=$AY15)+($AY15="Total")),$R$7:$R$13))</f>
        <v>0.5</v>
      </c>
      <c r="BB15" s="17" cm="1">
        <f t="array" ref="BB15">SUM(IF((($B$7:$B$13=$AZ15)+($AZ15="Total"))*(($F$7:$F$13=$AY15)+($AY15="Total")),$V$7:$V$13))</f>
        <v>0.3</v>
      </c>
      <c r="BC15" s="14">
        <v>-4.999582222766992E-2</v>
      </c>
      <c r="BD15" s="14">
        <v>-5.116040220982189E-2</v>
      </c>
      <c r="BE15" s="46">
        <v>10.120000000000001</v>
      </c>
      <c r="BF15" s="46">
        <v>10.135000000000002</v>
      </c>
      <c r="BG15" s="45">
        <f>($BD$16-0.15%)/$BF$16*$BE15+0.15%</f>
        <v>-6.2344704469442833E-2</v>
      </c>
      <c r="BH15" s="45">
        <f>($BD$16-0.15%)/$BF$16*$BF15+0.15%</f>
        <v>-6.2439335948399524E-2</v>
      </c>
      <c r="BJ15" s="14"/>
      <c r="BK15" s="14" t="s">
        <v>8</v>
      </c>
      <c r="BL15" s="14">
        <f>BA15*BG15-BB15*BH15</f>
        <v>-1.2440551450201561E-2</v>
      </c>
      <c r="BM15" s="14">
        <f>BN15-BL15</f>
        <v>3.692410430168323E-3</v>
      </c>
      <c r="BN15" s="14">
        <f>(BA15-BB15)*BD13</f>
        <v>-8.7481410200332382E-3</v>
      </c>
      <c r="BO15" s="14"/>
      <c r="BP15" s="14"/>
      <c r="BQ15" s="14">
        <v>-8.7481410200332382E-3</v>
      </c>
      <c r="BS15" s="1" t="s">
        <v>54</v>
      </c>
      <c r="BT15" s="12">
        <v>2E-3</v>
      </c>
      <c r="BU15" s="14">
        <f t="shared" ref="BU15:BU16" si="3">BT15*-BU$5</f>
        <v>-8.8000000000000005E-3</v>
      </c>
      <c r="BV15" s="78">
        <f t="shared" ref="BV15:BV16" si="4">BT15^2*0.5*BV$5</f>
        <v>4.5679999999999996E-5</v>
      </c>
      <c r="BW15" s="14">
        <f t="shared" ref="BW15:BW16" si="5">SUM(BU15:BV15)</f>
        <v>-8.7543200000000012E-3</v>
      </c>
      <c r="DC15" s="1">
        <v>9</v>
      </c>
      <c r="DD15" s="12">
        <v>4.24E-2</v>
      </c>
      <c r="DE15" s="25">
        <v>5.4600000000000003E-2</v>
      </c>
      <c r="DF15" s="25">
        <v>5.7270000000000001E-2</v>
      </c>
      <c r="DG15" s="25">
        <v>5.9270000000000003E-2</v>
      </c>
      <c r="DH15" s="25">
        <v>6.0299999999999999E-2</v>
      </c>
      <c r="DJ15" s="19" t="s">
        <v>55</v>
      </c>
      <c r="DL15" s="24">
        <f>SUM(DL8:DL14)</f>
        <v>-6.7670633004970143E-2</v>
      </c>
      <c r="DN15" s="34" t="s">
        <v>62</v>
      </c>
      <c r="DO15" s="35">
        <f>SUM(_xlfn.ANCHORARRAY(DO16))</f>
        <v>-1.1230886482698575E-2</v>
      </c>
    </row>
    <row r="16" spans="1:141" ht="14.4" thickBot="1" x14ac:dyDescent="0.35">
      <c r="A16" s="7" t="s">
        <v>88</v>
      </c>
      <c r="AA16" s="1" t="str">
        <v>Corporate</v>
      </c>
      <c r="AB16" s="17">
        <v>0.15</v>
      </c>
      <c r="AC16" s="17">
        <v>0.15</v>
      </c>
      <c r="AD16" s="17">
        <v>0.15</v>
      </c>
      <c r="AE16" s="17">
        <v>0.44999999999999996</v>
      </c>
      <c r="AF16" s="15" cm="1">
        <f t="array" ref="AF16">SUM(IF(($B$7:$B$13=$AA16)*($F$7:$F$13=AB$6),$G$7:$G$13*$V$7:$V$13))</f>
        <v>0.66</v>
      </c>
      <c r="AG16" s="15" cm="1">
        <f t="array" ref="AG16">SUM(IF(($B$7:$B$13=$AA16)*($F$7:$F$13=AC$6),$G$7:$G$13*$V$7:$V$13))</f>
        <v>1.1100000000000001</v>
      </c>
      <c r="AH16" s="15" cm="1">
        <f t="array" ref="AH16">SUM(IF(($B$7:$B$13=$AA16)*($F$7:$F$13=AD$6),$G$7:$G$13*$V$7:$V$13))</f>
        <v>1.5090000000000001</v>
      </c>
      <c r="AI16" s="1" cm="1">
        <f t="array" ref="AI16">SUM(IF($B$7:$B$13=$AA16,$G$7:$G$13*$V$7:$V$13))</f>
        <v>3.2789999999999999</v>
      </c>
      <c r="AJ16" s="15">
        <v>4.4000000000000004</v>
      </c>
      <c r="AK16" s="15">
        <v>7.4000000000000012</v>
      </c>
      <c r="AL16" s="15">
        <v>10.06</v>
      </c>
      <c r="AM16" s="15">
        <v>7.2866666666666671</v>
      </c>
      <c r="AO16" s="1" t="s">
        <v>20</v>
      </c>
      <c r="AP16" s="14" cm="1">
        <f t="array" ref="AP16">SUM(IF(($B$7:$B$13=$AO16)*($F$7:$F$13=AP$6),_xlfn.ANCHORARRAY($P$7)*$V$7:$V$13))</f>
        <v>-6.4970930232558181E-3</v>
      </c>
      <c r="AQ16" s="14" cm="1">
        <f t="array" ref="AQ16">SUM(IF(($B$7:$B$13=$AO16)*($F$7:$F$13=AQ$6),_xlfn.ANCHORARRAY($P$7)*$V$7:$V$13))</f>
        <v>-9.2122145239928004E-3</v>
      </c>
      <c r="AR16" s="14" cm="1">
        <f t="array" ref="AR16">SUM(IF(($B$7:$B$13=$AO16)*($F$7:$F$13=AR$6),_xlfn.ANCHORARRAY($P$7)*$V$7:$V$13))</f>
        <v>-8.7870148979216373E-3</v>
      </c>
      <c r="AS16" s="14" cm="1">
        <f t="array" ref="AS16">SUM(IF($B$7:$B$13=$AO16,_xlfn.ANCHORARRAY($P$7)*$V$7:$V$13))</f>
        <v>-2.4496322445170256E-2</v>
      </c>
      <c r="AT16" s="14">
        <v>-4.3313953488372123E-2</v>
      </c>
      <c r="AU16" s="14">
        <v>-6.141476349328534E-2</v>
      </c>
      <c r="AV16" s="14">
        <v>-5.8580099319477587E-2</v>
      </c>
      <c r="AW16" s="14">
        <v>-5.4436272100378352E-2</v>
      </c>
      <c r="AY16" s="14" t="s">
        <v>8</v>
      </c>
      <c r="AZ16" s="14" t="s">
        <v>19</v>
      </c>
      <c r="BA16" s="17" cm="1">
        <f t="array" ref="BA16">SUM(IF((($B$7:$B$13=$AZ16)+($AZ16="Total"))*(($F$7:$F$13=$AY16)+($AY16="Total")),$R$7:$R$13))</f>
        <v>0.4</v>
      </c>
      <c r="BB16" s="17" cm="1">
        <f t="array" ref="BB16">SUM(IF((($B$7:$B$13=$AZ16)+($AZ16="Total"))*(($F$7:$F$13=$AY16)+($AY16="Total")),$V$7:$V$13))</f>
        <v>0.55000000000000004</v>
      </c>
      <c r="BC16" s="14">
        <v>-4.3467867592231618E-2</v>
      </c>
      <c r="BD16" s="14">
        <v>-4.3343850543170449E-2</v>
      </c>
      <c r="BE16" s="46">
        <v>8.0775000000000006</v>
      </c>
      <c r="BF16" s="42">
        <v>7.1081818181818184</v>
      </c>
      <c r="BJ16" s="24" t="s">
        <v>8</v>
      </c>
      <c r="BK16" s="24"/>
      <c r="BL16" s="24" cm="1">
        <f t="array" ref="BL16:BQ16">_xlfn.BYCOL(BL7:BQ15,_xleta.SUM)</f>
        <v>-6.1857443411352485E-3</v>
      </c>
      <c r="BM16" s="24">
        <v>5.2357793153137069E-3</v>
      </c>
      <c r="BN16" s="24">
        <v>-9.4996502582154162E-4</v>
      </c>
      <c r="BO16" s="24">
        <v>-2.2901196104946628E-3</v>
      </c>
      <c r="BP16" s="24">
        <v>1.3242597020415546E-3</v>
      </c>
      <c r="BQ16" s="47">
        <v>-1.915824934274649E-3</v>
      </c>
      <c r="BS16" s="1" t="s">
        <v>39</v>
      </c>
      <c r="BT16" s="12">
        <v>1E-3</v>
      </c>
      <c r="BU16" s="14">
        <f t="shared" si="3"/>
        <v>-4.4000000000000003E-3</v>
      </c>
      <c r="BV16" s="78">
        <f t="shared" si="4"/>
        <v>1.1419999999999999E-5</v>
      </c>
      <c r="BW16" s="14">
        <f t="shared" si="5"/>
        <v>-4.3885800000000004E-3</v>
      </c>
      <c r="CR16" s="16" t="s">
        <v>71</v>
      </c>
      <c r="DC16" s="1">
        <v>10</v>
      </c>
      <c r="DD16" s="12">
        <v>4.3400000000000001E-2</v>
      </c>
      <c r="DE16" s="33"/>
      <c r="DF16" s="33"/>
      <c r="DG16" s="33"/>
      <c r="DJ16" s="19" t="s">
        <v>56</v>
      </c>
      <c r="DL16" s="24">
        <f>$M$10*100/DK7</f>
        <v>2.4224866886810338E-2</v>
      </c>
      <c r="DN16" s="1" t="s">
        <v>63</v>
      </c>
      <c r="DO16" s="14" cm="1">
        <f t="array" ref="DO16:DO17">DL13:DL14</f>
        <v>-7.4393531005974879E-3</v>
      </c>
    </row>
    <row r="17" spans="1:119" x14ac:dyDescent="0.3">
      <c r="A17" s="1" t="s">
        <v>13</v>
      </c>
      <c r="AA17" s="16" t="str">
        <v>Total</v>
      </c>
      <c r="AB17" s="22">
        <v>0.35</v>
      </c>
      <c r="AC17" s="22">
        <v>0.35</v>
      </c>
      <c r="AD17" s="22">
        <v>0.3</v>
      </c>
      <c r="AE17" s="22">
        <v>1</v>
      </c>
      <c r="AF17" s="19" cm="1">
        <f t="array" ref="AF17">SUM(IF($F$7:$F$13=AF$6,$G$7:$G$13*$V$7:$V$13))</f>
        <v>1.544</v>
      </c>
      <c r="AG17" s="19" cm="1">
        <f t="array" ref="AG17">SUM(IF($F$7:$F$13=AG$6,$G$7:$G$13*$V$7:$V$13))</f>
        <v>2.6040000000000001</v>
      </c>
      <c r="AH17" s="19" cm="1">
        <f t="array" ref="AH17">SUM(IF($F$7:$F$13=AH$6,$G$7:$G$13*$V$7:$V$13))</f>
        <v>3.0405000000000002</v>
      </c>
      <c r="AI17" s="19">
        <f>SUMPRODUCT($G$7:$G$13,$V$7:$V$13)</f>
        <v>7.1885000000000012</v>
      </c>
      <c r="AJ17" s="19">
        <v>4.4114285714285719</v>
      </c>
      <c r="AK17" s="19">
        <v>7.44</v>
      </c>
      <c r="AL17" s="19">
        <v>10.135000000000002</v>
      </c>
      <c r="AM17" s="19">
        <v>7.1885000000000012</v>
      </c>
      <c r="AO17" s="16" t="s">
        <v>8</v>
      </c>
      <c r="AP17" s="24" cm="1">
        <f t="array" ref="AP17">SUM(IF($F$7:$F$13=AP$6,_xlfn.ANCHORARRAY($P$7)*$V$7:$V$13))</f>
        <v>-1.3454438994819812E-2</v>
      </c>
      <c r="AQ17" s="24" cm="1">
        <f t="array" ref="AQ17">SUM(IF($F$7:$F$13=AQ$6,_xlfn.ANCHORARRAY($P$7)*$V$7:$V$13))</f>
        <v>-1.9532880586147626E-2</v>
      </c>
      <c r="AR17" s="24" cm="1">
        <f t="array" ref="AR17">SUM(IF($F$7:$F$13=AR$6,_xlfn.ANCHORARRAY($P$7)*$V$7:$V$13))</f>
        <v>-1.5348120662946566E-2</v>
      </c>
      <c r="AS17" s="24">
        <f>SUMPRODUCT(_xlfn.ANCHORARRAY($P$7),$V$7:$V$13)</f>
        <v>-4.8335440243914007E-2</v>
      </c>
      <c r="AT17" s="24">
        <v>-3.8441254270913751E-2</v>
      </c>
      <c r="AU17" s="24">
        <v>-5.5808230246136077E-2</v>
      </c>
      <c r="AV17" s="24">
        <v>-5.116040220982189E-2</v>
      </c>
      <c r="AW17" s="24">
        <v>-4.8335440243914007E-2</v>
      </c>
      <c r="AY17" s="14" t="s">
        <v>8</v>
      </c>
      <c r="AZ17" s="14" t="s">
        <v>20</v>
      </c>
      <c r="BA17" s="17" cm="1">
        <f t="array" ref="BA17">SUM(IF((($B$7:$B$13=$AZ17)+($AZ17="Total"))*(($F$7:$F$13=$AY17)+($AY17="Total")),$R$7:$R$13))</f>
        <v>0.60000000000000009</v>
      </c>
      <c r="BB17" s="17" cm="1">
        <f t="array" ref="BB17">SUM(IF((($B$7:$B$13=$AZ17)+($AZ17="Total"))*(($F$7:$F$13=$AY17)+($AY17="Total")),$V$7:$V$13))</f>
        <v>0.44999999999999996</v>
      </c>
      <c r="BC17" s="14">
        <v>-5.4773530235493327E-2</v>
      </c>
      <c r="BD17" s="14">
        <v>-5.4436272100378352E-2</v>
      </c>
      <c r="BE17" s="46">
        <v>8.23</v>
      </c>
      <c r="BF17" s="46">
        <v>7.2866666666666671</v>
      </c>
      <c r="BJ17" s="24"/>
      <c r="BK17" s="24"/>
      <c r="BL17" s="24"/>
      <c r="BM17" s="24"/>
      <c r="BN17" s="24"/>
      <c r="BO17" s="24"/>
      <c r="BP17" s="24"/>
      <c r="BQ17" s="24"/>
      <c r="BS17" s="1" t="s">
        <v>189</v>
      </c>
      <c r="BT17" s="33">
        <f>K10</f>
        <v>5.9700000000000003E-2</v>
      </c>
      <c r="BW17" s="14">
        <f>SUM(BW7,BW10,BW14)</f>
        <v>-5.1443972589041112E-2</v>
      </c>
      <c r="CR17" s="1" t="s">
        <v>72</v>
      </c>
      <c r="DJ17" s="16" t="s">
        <v>57</v>
      </c>
      <c r="DL17" s="24">
        <f>SUM(DL15:DL16)</f>
        <v>-4.3445766118159805E-2</v>
      </c>
      <c r="DN17" s="1" t="s">
        <v>39</v>
      </c>
      <c r="DO17" s="14">
        <v>-3.7915333821010862E-3</v>
      </c>
    </row>
    <row r="18" spans="1:119" ht="14.4" thickBot="1" x14ac:dyDescent="0.35">
      <c r="AY18" s="14" t="s">
        <v>8</v>
      </c>
      <c r="AZ18" s="14" t="s">
        <v>8</v>
      </c>
      <c r="BA18" s="17" cm="1">
        <f t="array" ref="BA18">SUM(IF((($B$7:$B$13=$AZ18)+($AZ18="Total"))*(($F$7:$F$13=$AY18)+($AY18="Total")),$R$7:$R$13))</f>
        <v>1</v>
      </c>
      <c r="BB18" s="17" cm="1">
        <f t="array" ref="BB18">SUM(IF((($B$7:$B$13=$AZ18)+($AZ18="Total"))*(($F$7:$F$13=$AY18)+($AY18="Total")),$V$7:$V$13))</f>
        <v>1</v>
      </c>
      <c r="BC18" s="14">
        <v>-5.0251265178188648E-2</v>
      </c>
      <c r="BD18" s="14">
        <v>-4.8335440243914007E-2</v>
      </c>
      <c r="BE18" s="46">
        <v>8.1690000000000005</v>
      </c>
      <c r="BF18" s="46">
        <v>7.1885000000000012</v>
      </c>
      <c r="BP18" s="33"/>
      <c r="BS18" s="1" t="s">
        <v>190</v>
      </c>
      <c r="BT18" s="33"/>
      <c r="BW18" s="14">
        <f>P10</f>
        <v>-4.3313953488372123E-2</v>
      </c>
      <c r="CR18" s="1" t="s">
        <v>73</v>
      </c>
      <c r="DN18" s="16" t="s">
        <v>8</v>
      </c>
      <c r="DO18" s="24">
        <f>SUM(DO7,DO11,DO15)</f>
        <v>-4.3445766118159812E-2</v>
      </c>
    </row>
    <row r="19" spans="1:119" ht="14.4" thickBot="1" x14ac:dyDescent="0.35">
      <c r="BC19" s="24" t="s">
        <v>16</v>
      </c>
      <c r="BD19" s="47">
        <f>BC18-BD18</f>
        <v>-1.9158249342746403E-3</v>
      </c>
      <c r="BS19" s="1" t="s">
        <v>45</v>
      </c>
      <c r="BT19" s="33"/>
      <c r="BW19" s="14">
        <f>BW18-BW17</f>
        <v>8.1300191006689893E-3</v>
      </c>
      <c r="CR19" s="1" t="s">
        <v>74</v>
      </c>
    </row>
    <row r="20" spans="1:119" x14ac:dyDescent="0.3">
      <c r="CR20" s="1" t="s">
        <v>75</v>
      </c>
    </row>
    <row r="21" spans="1:119" x14ac:dyDescent="0.3">
      <c r="CR21" s="1" t="s">
        <v>76</v>
      </c>
    </row>
  </sheetData>
  <mergeCells count="56">
    <mergeCell ref="AZ5:AZ6"/>
    <mergeCell ref="AA3:AM3"/>
    <mergeCell ref="AY5:AY6"/>
    <mergeCell ref="BY3:CE3"/>
    <mergeCell ref="BA5:BB5"/>
    <mergeCell ref="BC5:BD5"/>
    <mergeCell ref="BE5:BF5"/>
    <mergeCell ref="BZ5:CE5"/>
    <mergeCell ref="CG5:CP5"/>
    <mergeCell ref="BG5:BH5"/>
    <mergeCell ref="EC3:EK3"/>
    <mergeCell ref="DD5:DG5"/>
    <mergeCell ref="BL5:BL6"/>
    <mergeCell ref="BJ5:BJ6"/>
    <mergeCell ref="BK5:BK6"/>
    <mergeCell ref="BM5:BM6"/>
    <mergeCell ref="BN5:BN6"/>
    <mergeCell ref="BO5:BO6"/>
    <mergeCell ref="BP5:BP6"/>
    <mergeCell ref="BQ5:BQ6"/>
    <mergeCell ref="BJ3:BQ3"/>
    <mergeCell ref="CS5:DA5"/>
    <mergeCell ref="AP13:AS13"/>
    <mergeCell ref="AT13:AW13"/>
    <mergeCell ref="AF5:AI5"/>
    <mergeCell ref="AF13:AI13"/>
    <mergeCell ref="AJ5:AM5"/>
    <mergeCell ref="AJ13:AM13"/>
    <mergeCell ref="AT5:AW5"/>
    <mergeCell ref="AP5:AS5"/>
    <mergeCell ref="AO11:AW11"/>
    <mergeCell ref="AA11:AM11"/>
    <mergeCell ref="AB13:AE13"/>
    <mergeCell ref="AB5:AE5"/>
    <mergeCell ref="A1:P1"/>
    <mergeCell ref="AO3:AW3"/>
    <mergeCell ref="AY1:BQ1"/>
    <mergeCell ref="A3:P3"/>
    <mergeCell ref="AY3:BH3"/>
    <mergeCell ref="R3:Y3"/>
    <mergeCell ref="K5:M5"/>
    <mergeCell ref="I5:J5"/>
    <mergeCell ref="N5:P5"/>
    <mergeCell ref="R4:U4"/>
    <mergeCell ref="V4:Y4"/>
    <mergeCell ref="S5:U5"/>
    <mergeCell ref="W5:Y5"/>
    <mergeCell ref="DC1:DZ1"/>
    <mergeCell ref="DN3:DO4"/>
    <mergeCell ref="DJ3:DL4"/>
    <mergeCell ref="DC3:DH3"/>
    <mergeCell ref="CG3:CP3"/>
    <mergeCell ref="DQ3:DZ3"/>
    <mergeCell ref="BS1:DA1"/>
    <mergeCell ref="BS3:BW3"/>
    <mergeCell ref="CR3:DA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Performance Measurement</vt:lpstr>
      <vt:lpstr>Return Attribution</vt:lpstr>
      <vt:lpstr>Fixed Income Attribution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Cheung Cheng</dc:creator>
  <cp:lastModifiedBy>Kai Cheung Cheng</cp:lastModifiedBy>
  <dcterms:created xsi:type="dcterms:W3CDTF">2025-05-09T22:34:39Z</dcterms:created>
  <dcterms:modified xsi:type="dcterms:W3CDTF">2025-08-08T02:40:32Z</dcterms:modified>
</cp:coreProperties>
</file>