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fernando\Desktop\"/>
    </mc:Choice>
  </mc:AlternateContent>
  <xr:revisionPtr revIDLastSave="0" documentId="13_ncr:1_{72D2E30A-CF08-4CD0-8A00-27BCA38581AB}" xr6:coauthVersionLast="46" xr6:coauthVersionMax="46" xr10:uidLastSave="{00000000-0000-0000-0000-000000000000}"/>
  <bookViews>
    <workbookView xWindow="-109" yWindow="-109" windowWidth="26301" windowHeight="14427" xr2:uid="{0F42F976-B632-4EB2-AF84-55F343485339}"/>
  </bookViews>
  <sheets>
    <sheet name="network inventory" sheetId="5" r:id="rId1"/>
    <sheet name="ips to lookup" sheetId="1" r:id="rId2"/>
    <sheet name="lookups" sheetId="4" r:id="rId3"/>
    <sheet name="poc-scratchings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5"/>
  <c r="D18" i="2"/>
  <c r="E18" i="2"/>
  <c r="F18" i="2"/>
  <c r="G18" i="2"/>
  <c r="H3" i="1"/>
  <c r="G3" i="1"/>
  <c r="F3" i="1"/>
  <c r="E3" i="1"/>
  <c r="L3" i="1"/>
  <c r="K3" i="1"/>
  <c r="J3" i="1"/>
  <c r="X6" i="5"/>
  <c r="Y6" i="5" s="1"/>
  <c r="C6" i="5"/>
  <c r="D6" i="5" s="1"/>
  <c r="X5" i="5"/>
  <c r="Y5" i="5" s="1"/>
  <c r="C5" i="5"/>
  <c r="D5" i="5" s="1"/>
  <c r="X4" i="5"/>
  <c r="Y4" i="5" s="1"/>
  <c r="C4" i="5"/>
  <c r="D4" i="5" s="1"/>
  <c r="X3" i="5"/>
  <c r="Y3" i="5" s="1"/>
  <c r="C3" i="5"/>
  <c r="E4" i="2"/>
  <c r="E5" i="2" s="1"/>
  <c r="D4" i="2"/>
  <c r="D5" i="2" s="1"/>
  <c r="C4" i="2"/>
  <c r="C5" i="2" s="1"/>
  <c r="B4" i="2"/>
  <c r="B5" i="2" s="1"/>
  <c r="E5" i="5" l="1"/>
  <c r="F3" i="5"/>
  <c r="E3" i="5"/>
  <c r="E4" i="5"/>
  <c r="E6" i="5"/>
  <c r="F6" i="5"/>
  <c r="F5" i="5"/>
  <c r="F4" i="5"/>
  <c r="AB6" i="5"/>
  <c r="AB4" i="5"/>
  <c r="AB5" i="5"/>
  <c r="Z6" i="5"/>
  <c r="G6" i="5" s="1"/>
  <c r="Z3" i="5"/>
  <c r="H3" i="5" s="1"/>
  <c r="Z4" i="5"/>
  <c r="G4" i="5" s="1"/>
  <c r="Z5" i="5"/>
  <c r="H5" i="5" s="1"/>
  <c r="AB3" i="5"/>
  <c r="AC3" i="5" s="1"/>
  <c r="I3" i="5" l="1"/>
  <c r="M3" i="5" s="1"/>
  <c r="H6" i="5"/>
  <c r="AD3" i="5"/>
  <c r="L3" i="5" s="1"/>
  <c r="P3" i="5" s="1"/>
  <c r="H4" i="5"/>
  <c r="G5" i="5"/>
  <c r="G3" i="5"/>
  <c r="J3" i="5"/>
  <c r="N3" i="5" s="1"/>
  <c r="I5" i="5"/>
  <c r="M5" i="5" s="1"/>
  <c r="AC5" i="5"/>
  <c r="I6" i="5"/>
  <c r="M6" i="5" s="1"/>
  <c r="I4" i="5"/>
  <c r="M4" i="5" s="1"/>
  <c r="AC6" i="5"/>
  <c r="J6" i="5" s="1"/>
  <c r="N6" i="5" s="1"/>
  <c r="R6" i="5" s="1"/>
  <c r="AC4" i="5"/>
  <c r="J4" i="5" s="1"/>
  <c r="N4" i="5" s="1"/>
  <c r="R4" i="5" s="1"/>
  <c r="Q3" i="5" l="1"/>
  <c r="H24" i="2" a="1"/>
  <c r="H24" i="2" s="1"/>
  <c r="K3" i="5"/>
  <c r="O3" i="5" s="1"/>
  <c r="T3" i="5"/>
  <c r="R3" i="5"/>
  <c r="Q4" i="5"/>
  <c r="Q5" i="5"/>
  <c r="Q6" i="5"/>
  <c r="AD5" i="5"/>
  <c r="L5" i="5" s="1"/>
  <c r="P5" i="5" s="1"/>
  <c r="T5" i="5" s="1"/>
  <c r="AD4" i="5"/>
  <c r="L4" i="5" s="1"/>
  <c r="P4" i="5" s="1"/>
  <c r="T4" i="5" s="1"/>
  <c r="AD6" i="5"/>
  <c r="L6" i="5" s="1"/>
  <c r="P6" i="5" s="1"/>
  <c r="T6" i="5" s="1"/>
  <c r="J5" i="5"/>
  <c r="N5" i="5" s="1"/>
  <c r="R5" i="5" s="1"/>
  <c r="K24" i="2" l="1" a="1"/>
  <c r="I24" i="2" a="1"/>
  <c r="I24" i="2" s="1"/>
  <c r="O24" i="2" a="1"/>
  <c r="O24" i="2" s="1"/>
  <c r="N24" i="2" a="1"/>
  <c r="N24" i="2" s="1"/>
  <c r="S3" i="5"/>
  <c r="J24" i="2" a="1"/>
  <c r="J24" i="2" s="1"/>
  <c r="K5" i="5"/>
  <c r="O5" i="5" s="1"/>
  <c r="S5" i="5" s="1"/>
  <c r="K4" i="5"/>
  <c r="O4" i="5" s="1"/>
  <c r="K6" i="5"/>
  <c r="O6" i="5" s="1"/>
  <c r="S6" i="5" s="1"/>
  <c r="L24" i="2" l="1" a="1"/>
  <c r="L24" i="2" s="1"/>
  <c r="T18" i="2" a="1"/>
  <c r="T18" i="2" s="1"/>
  <c r="B3" i="1" a="1"/>
  <c r="B3" i="1" s="1"/>
  <c r="H18" i="2" a="1"/>
  <c r="K24" i="2"/>
  <c r="K25" i="2"/>
  <c r="K26" i="2"/>
  <c r="K27" i="2"/>
  <c r="S4" i="5"/>
  <c r="M24" i="2" s="1" a="1"/>
  <c r="M24" i="2" s="1"/>
  <c r="P18" i="2" l="1" a="1"/>
  <c r="P18" i="2" s="1"/>
  <c r="H21" i="2"/>
  <c r="H19" i="2"/>
  <c r="H20" i="2"/>
  <c r="H1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<sst xmlns="http://schemas.openxmlformats.org/spreadsheetml/2006/main" count="86" uniqueCount="80">
  <si>
    <t>10.0.0.0/24</t>
  </si>
  <si>
    <t>192.168.1.0/25</t>
  </si>
  <si>
    <t>10.1.1.0/23</t>
  </si>
  <si>
    <t>Netmask</t>
  </si>
  <si>
    <t>A . Pos</t>
  </si>
  <si>
    <t>B . Pos</t>
  </si>
  <si>
    <t>C . Pos</t>
  </si>
  <si>
    <t>D . Pos</t>
  </si>
  <si>
    <t>10.10.0.0/22</t>
  </si>
  <si>
    <t>A</t>
  </si>
  <si>
    <t>B</t>
  </si>
  <si>
    <t>C</t>
  </si>
  <si>
    <t>D</t>
  </si>
  <si>
    <t>Network ID</t>
  </si>
  <si>
    <t>network id</t>
  </si>
  <si>
    <t>broadcast</t>
  </si>
  <si>
    <t>netmask</t>
  </si>
  <si>
    <t>ip</t>
  </si>
  <si>
    <t>Broadcast</t>
  </si>
  <si>
    <t>NM A . Pos</t>
  </si>
  <si>
    <t>NM B . Pos</t>
  </si>
  <si>
    <t>NM C . Pos</t>
  </si>
  <si>
    <t>NM D . Pos</t>
  </si>
  <si>
    <t>IP A. pos</t>
  </si>
  <si>
    <t>IP B. pos</t>
  </si>
  <si>
    <t>IP C. pos</t>
  </si>
  <si>
    <t>IP D. pos</t>
  </si>
  <si>
    <t>prefix</t>
  </si>
  <si>
    <t>255.255.255.0</t>
  </si>
  <si>
    <t>255.255.255.128</t>
  </si>
  <si>
    <t>255.255.255.252</t>
  </si>
  <si>
    <t>255.255.255.248</t>
  </si>
  <si>
    <t>255.255.255.240</t>
  </si>
  <si>
    <t>255.255.255.224</t>
  </si>
  <si>
    <t>255.255.255.192</t>
  </si>
  <si>
    <t>255.255.254.0</t>
  </si>
  <si>
    <t>255.255.252.0</t>
  </si>
  <si>
    <t>255.255.248.0</t>
  </si>
  <si>
    <t>255.255.240.0</t>
  </si>
  <si>
    <t>255.255.224.0</t>
  </si>
  <si>
    <t>255.255.192.0</t>
  </si>
  <si>
    <t>255.255.128.0</t>
  </si>
  <si>
    <t>255.255.0.0</t>
  </si>
  <si>
    <t>IP A</t>
  </si>
  <si>
    <t>IP B</t>
  </si>
  <si>
    <t>IP C</t>
  </si>
  <si>
    <t>IP D</t>
  </si>
  <si>
    <t>Network</t>
  </si>
  <si>
    <t>Prefix</t>
  </si>
  <si>
    <t>IP address</t>
  </si>
  <si>
    <t>10.0.0.77</t>
  </si>
  <si>
    <t>NM A</t>
  </si>
  <si>
    <t>NM B</t>
  </si>
  <si>
    <t>NM C</t>
  </si>
  <si>
    <t>NM D</t>
  </si>
  <si>
    <t>NW A</t>
  </si>
  <si>
    <t>NW B</t>
  </si>
  <si>
    <t>NW C</t>
  </si>
  <si>
    <t>NW D</t>
  </si>
  <si>
    <t>BC A</t>
  </si>
  <si>
    <t>BC B</t>
  </si>
  <si>
    <t>BC C</t>
  </si>
  <si>
    <t>BC D</t>
  </si>
  <si>
    <t>Ignore Chris's internal workings that he should have worked in to the formulas</t>
  </si>
  <si>
    <t>255.254.0.0</t>
  </si>
  <si>
    <t>255.252.0.0</t>
  </si>
  <si>
    <t>255.248.0.0</t>
  </si>
  <si>
    <t>255.240.0.0</t>
  </si>
  <si>
    <t>255.224.0.0</t>
  </si>
  <si>
    <t>255.192.0.0</t>
  </si>
  <si>
    <t>255.128.0.0</t>
  </si>
  <si>
    <t>255.0.0.0</t>
  </si>
  <si>
    <t>255.255.255.254</t>
  </si>
  <si>
    <t>255.255.255.255</t>
  </si>
  <si>
    <t>Network name</t>
  </si>
  <si>
    <t>Name</t>
  </si>
  <si>
    <t>Prod</t>
  </si>
  <si>
    <t>Preprod</t>
  </si>
  <si>
    <t>DevTest</t>
  </si>
  <si>
    <t>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</si>
</sst>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6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19"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15BAFE-7B36-46CC-96AA-5AD25AB39FFA}" name="data" displayName="data" ref="A2:T6" totalsRowShown="0" headerRowDxfId="4" dataDxfId="5" tableBorderDxfId="18">
  <autoFilter ref="A2:T6" xr:uid="{E9AF9AC2-6EC9-4B7F-8394-2FDE77D02407}"/>
  <tableColumns count="20">
    <tableColumn id="1" xr3:uid="{D622AC42-21E4-46C3-9362-E3DF69E90BFC}" name="Network"/>
    <tableColumn id="20" xr3:uid="{445622A1-193C-4CED-9E23-D24A12E7A662}" name="Name"/>
    <tableColumn id="2" xr3:uid="{3D4F1402-B51B-4E2E-A282-C048717C676A}" name="Prefix">
      <calculatedColumnFormula>INT(TRIM(RIGHT(A3,2)))</calculatedColumnFormula>
    </tableColumn>
    <tableColumn id="3" xr3:uid="{08331307-98DD-4C1F-B8D7-937D07FE8E68}" name="Netmask">
      <calculatedColumnFormula>VLOOKUP(C3,lookups!A:B,2,FALSE)</calculatedColumnFormula>
    </tableColumn>
    <tableColumn id="4" xr3:uid="{387E1726-CADC-4DF9-8941-77895DC278E6}" name="IP A" dataDxfId="3">
      <calculatedColumnFormula>INT(MID($A3,W3,X3-1))</calculatedColumnFormula>
    </tableColumn>
    <tableColumn id="5" xr3:uid="{44CCD1F0-A073-42BE-B307-52014FAEF8A3}" name="IP B" dataDxfId="2">
      <calculatedColumnFormula>INT(MID($A3,X3+1,Y3-X3-1))</calculatedColumnFormula>
    </tableColumn>
    <tableColumn id="6" xr3:uid="{E078BE16-907F-4498-A066-5513344F63F5}" name="IP C" dataDxfId="1">
      <calculatedColumnFormula>INT(MID($A3,Y3+1,Z3-Y3-1))</calculatedColumnFormula>
    </tableColumn>
    <tableColumn id="7" xr3:uid="{26DA02EC-4B37-491C-AAF2-83EF55639D94}" name="IP D" dataDxfId="0">
      <calculatedColumnFormula>INT(MID(SUBSTITUTE(A3,_xlfn.CONCAT("/",C3),""),Z3+1,LEN(A3)-Z3))</calculatedColumnFormula>
    </tableColumn>
    <tableColumn id="8" xr3:uid="{5DAA7831-D8B7-42AE-82B1-022C58208FA7}" name="NM A" dataDxfId="17">
      <calculatedColumnFormula>MID(D3,AA3,AB3-1)</calculatedColumnFormula>
    </tableColumn>
    <tableColumn id="9" xr3:uid="{7F5C4C1C-30CD-41CD-B520-B727B539A58C}" name="NM B" dataDxfId="16">
      <calculatedColumnFormula>MID(D3,AB3+1,AC3-AB3-1)</calculatedColumnFormula>
    </tableColumn>
    <tableColumn id="10" xr3:uid="{11ADD993-3C42-4CBC-908C-70D74FCC46EE}" name="NM C" dataDxfId="15">
      <calculatedColumnFormula>MID(D3,AC3+1,AD3-AC3-1)</calculatedColumnFormula>
    </tableColumn>
    <tableColumn id="11" xr3:uid="{5FC57AD6-6861-4BCD-9EB2-7AC9D14B2277}" name="NM D" dataDxfId="14">
      <calculatedColumnFormula>MID(D3,AD3+1,3)</calculatedColumnFormula>
    </tableColumn>
    <tableColumn id="12" xr3:uid="{5EB0D904-A485-4E37-A11C-A9C97F165E22}" name="NW A" dataDxfId="13">
      <calculatedColumnFormula>_xlfn.BITAND(E3,I3)</calculatedColumnFormula>
    </tableColumn>
    <tableColumn id="13" xr3:uid="{29244100-54EE-4D52-B44B-0D2521294E0F}" name="NW B" dataDxfId="12">
      <calculatedColumnFormula>_xlfn.BITAND(F3,J3)</calculatedColumnFormula>
    </tableColumn>
    <tableColumn id="14" xr3:uid="{1064BADB-E91F-4C9F-B74C-E4082796EB4B}" name="NW C" dataDxfId="11">
      <calculatedColumnFormula>_xlfn.BITAND(G3,K3)</calculatedColumnFormula>
    </tableColumn>
    <tableColumn id="15" xr3:uid="{4C8BFCE3-6CAA-41C5-9FA9-362878A70C6B}" name="NW D" dataDxfId="10">
      <calculatedColumnFormula>_xlfn.BITAND(H3,L3)</calculatedColumnFormula>
    </tableColumn>
    <tableColumn id="16" xr3:uid="{783FF11C-B774-4A37-ADBD-929CB15B6EAC}" name="BC A" dataDxfId="9">
      <calculatedColumnFormula>_xlfn.BITOR(M3,255-I3)</calculatedColumnFormula>
    </tableColumn>
    <tableColumn id="17" xr3:uid="{1463FB47-FEE8-4655-AE5E-C95CB1CA6EAC}" name="BC B" dataDxfId="8">
      <calculatedColumnFormula>_xlfn.BITOR(N3,255-J3)</calculatedColumnFormula>
    </tableColumn>
    <tableColumn id="18" xr3:uid="{8D9AB007-81E8-47F9-A4CD-DD1C44AA2A81}" name="BC C" dataDxfId="7">
      <calculatedColumnFormula>_xlfn.BITOR(O3,255-K3)</calculatedColumnFormula>
    </tableColumn>
    <tableColumn id="19" xr3:uid="{ACFC5BC9-A19B-44F9-97EE-D9DE2A44E83E}" name="BC D" dataDxfId="6">
      <calculatedColumnFormula>_xlfn.BITOR(P3,255-L3)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19B3-57AD-4334-8E1E-5AC85BCF4E0E}">
  <dimension ref="A1:AD6"/>
  <sheetViews>
    <sheetView tabSelected="1" workbookViewId="0">
      <selection activeCell="B7" sqref="B7"/>
    </sheetView>
  </sheetViews>
  <sheetFormatPr defaultRowHeight="14.3" x14ac:dyDescent="0.25"/>
  <cols>
    <col min="1" max="1" width="13.25" bestFit="1" customWidth="1"/>
    <col min="2" max="2" width="13.25" customWidth="1"/>
    <col min="3" max="3" width="9.125" customWidth="1"/>
    <col min="4" max="4" width="14.5" bestFit="1" customWidth="1"/>
    <col min="5" max="5" width="8" style="13" customWidth="1"/>
    <col min="6" max="7" width="8" style="14" customWidth="1"/>
    <col min="8" max="8" width="8" style="15" customWidth="1"/>
    <col min="9" max="9" width="8" style="13" customWidth="1"/>
    <col min="10" max="11" width="8" style="14" customWidth="1"/>
    <col min="12" max="12" width="8" style="15" customWidth="1"/>
    <col min="13" max="13" width="8" style="13" customWidth="1"/>
    <col min="14" max="15" width="8" style="14" customWidth="1"/>
    <col min="16" max="16" width="8" style="15" customWidth="1"/>
    <col min="17" max="17" width="8" style="13" customWidth="1"/>
    <col min="18" max="19" width="8" style="14" customWidth="1"/>
    <col min="20" max="20" width="8" style="15" customWidth="1"/>
    <col min="23" max="23" width="9" style="2"/>
  </cols>
  <sheetData>
    <row r="1" spans="1:30" x14ac:dyDescent="0.25">
      <c r="E1" s="4"/>
      <c r="F1" s="3" t="s">
        <v>49</v>
      </c>
      <c r="G1" s="4"/>
      <c r="H1" s="5"/>
      <c r="I1" s="6"/>
      <c r="J1" s="21" t="s">
        <v>3</v>
      </c>
      <c r="K1" s="6"/>
      <c r="L1" s="7"/>
      <c r="M1" s="9"/>
      <c r="N1" s="8" t="s">
        <v>13</v>
      </c>
      <c r="O1" s="9"/>
      <c r="P1" s="10"/>
      <c r="Q1" s="11"/>
      <c r="R1" s="22" t="s">
        <v>18</v>
      </c>
      <c r="S1" s="11"/>
      <c r="T1" s="12"/>
      <c r="W1" s="23" t="s">
        <v>63</v>
      </c>
    </row>
    <row r="2" spans="1:30" x14ac:dyDescent="0.25">
      <c r="A2" t="s">
        <v>47</v>
      </c>
      <c r="B2" t="s">
        <v>75</v>
      </c>
      <c r="C2" t="s">
        <v>48</v>
      </c>
      <c r="D2" t="s">
        <v>3</v>
      </c>
      <c r="E2" s="13" t="s">
        <v>43</v>
      </c>
      <c r="F2" s="14" t="s">
        <v>44</v>
      </c>
      <c r="G2" s="14" t="s">
        <v>45</v>
      </c>
      <c r="H2" s="15" t="s">
        <v>46</v>
      </c>
      <c r="I2" s="13" t="s">
        <v>51</v>
      </c>
      <c r="J2" s="14" t="s">
        <v>52</v>
      </c>
      <c r="K2" s="14" t="s">
        <v>53</v>
      </c>
      <c r="L2" s="15" t="s">
        <v>54</v>
      </c>
      <c r="M2" s="13" t="s">
        <v>55</v>
      </c>
      <c r="N2" s="14" t="s">
        <v>56</v>
      </c>
      <c r="O2" s="14" t="s">
        <v>57</v>
      </c>
      <c r="P2" s="15" t="s">
        <v>58</v>
      </c>
      <c r="Q2" s="13" t="s">
        <v>59</v>
      </c>
      <c r="R2" s="14" t="s">
        <v>60</v>
      </c>
      <c r="S2" s="14" t="s">
        <v>61</v>
      </c>
      <c r="T2" s="14" t="s">
        <v>62</v>
      </c>
      <c r="W2" s="2" t="s">
        <v>23</v>
      </c>
      <c r="X2" t="s">
        <v>24</v>
      </c>
      <c r="Y2" t="s">
        <v>25</v>
      </c>
      <c r="Z2" t="s">
        <v>26</v>
      </c>
      <c r="AA2" t="s">
        <v>19</v>
      </c>
      <c r="AB2" t="s">
        <v>20</v>
      </c>
      <c r="AC2" t="s">
        <v>21</v>
      </c>
      <c r="AD2" t="s">
        <v>22</v>
      </c>
    </row>
    <row r="3" spans="1:30" x14ac:dyDescent="0.25">
      <c r="A3" t="s">
        <v>0</v>
      </c>
      <c r="B3" t="s">
        <v>76</v>
      </c>
      <c r="C3">
        <f>INT(TRIM(RIGHT(A3,2)))</f>
        <v>24</v>
      </c>
      <c r="D3" t="str">
        <f>VLOOKUP(C3,lookups!A:B,2,FALSE)</f>
        <v>255.255.255.0</v>
      </c>
      <c r="E3" s="13">
        <f>INT(MID($A3,W3,X3-1))</f>
        <v>10</v>
      </c>
      <c r="F3" s="14">
        <f>INT(MID($A3,X3+1,Y3-X3-1))</f>
        <v>0</v>
      </c>
      <c r="G3" s="14">
        <f>INT(MID($A3,Y3+1,Z3-Y3-1))</f>
        <v>0</v>
      </c>
      <c r="H3" s="15">
        <f>INT(MID(SUBSTITUTE(A3,_xlfn.CONCAT("/",C3),""),Z3+1,LEN(A3)-Z3))</f>
        <v>0</v>
      </c>
      <c r="I3" s="13" t="str">
        <f>MID(D3,AA3,AB3-1)</f>
        <v>255</v>
      </c>
      <c r="J3" s="14" t="str">
        <f>MID(D3,AB3+1,AC3-AB3-1)</f>
        <v>255</v>
      </c>
      <c r="K3" s="14" t="str">
        <f>MID(D3,AC3+1,AD3-AC3-1)</f>
        <v>255</v>
      </c>
      <c r="L3" s="15" t="str">
        <f>MID(D3,AD3+1,3)</f>
        <v>0</v>
      </c>
      <c r="M3" s="13">
        <f>_xlfn.BITAND(E3,I3)</f>
        <v>10</v>
      </c>
      <c r="N3" s="14">
        <f>_xlfn.BITAND(F3,J3)</f>
        <v>0</v>
      </c>
      <c r="O3" s="14">
        <f>_xlfn.BITAND(G3,K3)</f>
        <v>0</v>
      </c>
      <c r="P3" s="15">
        <f>_xlfn.BITAND(H3,L3)</f>
        <v>0</v>
      </c>
      <c r="Q3" s="13">
        <f>_xlfn.BITOR(M3,255-I3)</f>
        <v>10</v>
      </c>
      <c r="R3" s="14">
        <f t="shared" ref="R3:T6" si="0">_xlfn.BITOR(N3,255-J3)</f>
        <v>0</v>
      </c>
      <c r="S3" s="14">
        <f t="shared" si="0"/>
        <v>0</v>
      </c>
      <c r="T3" s="14">
        <f t="shared" si="0"/>
        <v>255</v>
      </c>
      <c r="W3" s="2">
        <v>1</v>
      </c>
      <c r="X3">
        <f>FIND(".",$A3,W3+1)</f>
        <v>3</v>
      </c>
      <c r="Y3">
        <f>FIND(".",$A3,X3+1)</f>
        <v>5</v>
      </c>
      <c r="Z3">
        <f>FIND(".",$A3,Y3+1)</f>
        <v>7</v>
      </c>
      <c r="AA3">
        <v>1</v>
      </c>
      <c r="AB3">
        <f>FIND(".",$D3,AA3+1)</f>
        <v>4</v>
      </c>
      <c r="AC3">
        <f>FIND(".",$D3,AB3+1)</f>
        <v>8</v>
      </c>
      <c r="AD3">
        <f>FIND(".",$D3,AC3+1)</f>
        <v>12</v>
      </c>
    </row>
    <row r="4" spans="1:30" x14ac:dyDescent="0.25">
      <c r="A4" t="s">
        <v>1</v>
      </c>
      <c r="B4" t="s">
        <v>77</v>
      </c>
      <c r="C4">
        <f t="shared" ref="C4:C6" si="1">INT(TRIM(RIGHT(A4,2)))</f>
        <v>25</v>
      </c>
      <c r="D4" t="str">
        <f>VLOOKUP(C4,lookups!A:B,2,FALSE)</f>
        <v>255.255.255.128</v>
      </c>
      <c r="E4" s="13">
        <f>INT(MID($A4,W4,X4-1))</f>
        <v>192</v>
      </c>
      <c r="F4" s="14">
        <f>INT(MID($A4,X4+1,Y4-X4-1))</f>
        <v>168</v>
      </c>
      <c r="G4" s="14">
        <f>INT(MID($A4,Y4+1,Z4-Y4-1))</f>
        <v>1</v>
      </c>
      <c r="H4" s="15">
        <f>INT(MID(SUBSTITUTE(A4,_xlfn.CONCAT("/",C4),""),Z4+1,LEN(A4)-Z4))</f>
        <v>0</v>
      </c>
      <c r="I4" s="13" t="str">
        <f>MID(D4,AA4,AB4-1)</f>
        <v>255</v>
      </c>
      <c r="J4" s="14" t="str">
        <f>MID(D4,AB4+1,AC4-AB4-1)</f>
        <v>255</v>
      </c>
      <c r="K4" s="14" t="str">
        <f>MID(D4,AC4+1,AD4-AC4-1)</f>
        <v>255</v>
      </c>
      <c r="L4" s="15" t="str">
        <f>MID(D4,AD4+1,3)</f>
        <v>128</v>
      </c>
      <c r="M4" s="13">
        <f t="shared" ref="M4:P6" si="2">_xlfn.BITAND(E4,I4)</f>
        <v>192</v>
      </c>
      <c r="N4" s="14">
        <f t="shared" si="2"/>
        <v>168</v>
      </c>
      <c r="O4" s="14">
        <f t="shared" si="2"/>
        <v>1</v>
      </c>
      <c r="P4" s="15">
        <f t="shared" si="2"/>
        <v>0</v>
      </c>
      <c r="Q4" s="13">
        <f t="shared" ref="Q4:Q6" si="3">_xlfn.BITOR(M4,255-I4)</f>
        <v>192</v>
      </c>
      <c r="R4" s="14">
        <f t="shared" si="0"/>
        <v>168</v>
      </c>
      <c r="S4" s="14">
        <f t="shared" si="0"/>
        <v>1</v>
      </c>
      <c r="T4" s="14">
        <f t="shared" si="0"/>
        <v>127</v>
      </c>
      <c r="W4" s="2">
        <v>1</v>
      </c>
      <c r="X4">
        <f>FIND(".",$A4,W4+1)</f>
        <v>4</v>
      </c>
      <c r="Y4">
        <f>FIND(".",$A4,X4+1)</f>
        <v>8</v>
      </c>
      <c r="Z4">
        <f>FIND(".",$A4,Y4+1)</f>
        <v>10</v>
      </c>
      <c r="AA4">
        <v>1</v>
      </c>
      <c r="AB4">
        <f>FIND(".",$D4,AA4+1)</f>
        <v>4</v>
      </c>
      <c r="AC4">
        <f>FIND(".",$D4,AB4+1)</f>
        <v>8</v>
      </c>
      <c r="AD4">
        <f>FIND(".",$D4,AC4+1)</f>
        <v>12</v>
      </c>
    </row>
    <row r="5" spans="1:30" x14ac:dyDescent="0.25">
      <c r="A5" t="s">
        <v>2</v>
      </c>
      <c r="B5" t="s">
        <v>78</v>
      </c>
      <c r="C5">
        <f t="shared" si="1"/>
        <v>23</v>
      </c>
      <c r="D5" t="str">
        <f>VLOOKUP(C5,lookups!A:B,2,FALSE)</f>
        <v>255.255.254.0</v>
      </c>
      <c r="E5" s="13">
        <f>INT(MID($A5,W5,X5-1))</f>
        <v>10</v>
      </c>
      <c r="F5" s="14">
        <f>INT(MID($A5,X5+1,Y5-X5-1))</f>
        <v>1</v>
      </c>
      <c r="G5" s="14">
        <f>INT(MID($A5,Y5+1,Z5-Y5-1))</f>
        <v>1</v>
      </c>
      <c r="H5" s="15">
        <f>INT(MID(SUBSTITUTE(A5,_xlfn.CONCAT("/",C5),""),Z5+1,LEN(A5)-Z5))</f>
        <v>0</v>
      </c>
      <c r="I5" s="13" t="str">
        <f>MID(D5,AA5,AB5-1)</f>
        <v>255</v>
      </c>
      <c r="J5" s="14" t="str">
        <f>MID(D5,AB5+1,AC5-AB5-1)</f>
        <v>255</v>
      </c>
      <c r="K5" s="14" t="str">
        <f>MID(D5,AC5+1,AD5-AC5-1)</f>
        <v>254</v>
      </c>
      <c r="L5" s="15" t="str">
        <f>MID(D5,AD5+1,3)</f>
        <v>0</v>
      </c>
      <c r="M5" s="13">
        <f t="shared" si="2"/>
        <v>10</v>
      </c>
      <c r="N5" s="14">
        <f t="shared" si="2"/>
        <v>1</v>
      </c>
      <c r="O5" s="14">
        <f t="shared" si="2"/>
        <v>0</v>
      </c>
      <c r="P5" s="15">
        <f t="shared" si="2"/>
        <v>0</v>
      </c>
      <c r="Q5" s="13">
        <f t="shared" si="3"/>
        <v>10</v>
      </c>
      <c r="R5" s="14">
        <f t="shared" si="0"/>
        <v>1</v>
      </c>
      <c r="S5" s="14">
        <f t="shared" si="0"/>
        <v>1</v>
      </c>
      <c r="T5" s="14">
        <f t="shared" si="0"/>
        <v>255</v>
      </c>
      <c r="W5" s="2">
        <v>1</v>
      </c>
      <c r="X5">
        <f>FIND(".",$A5,W5+1)</f>
        <v>3</v>
      </c>
      <c r="Y5">
        <f>FIND(".",$A5,X5+1)</f>
        <v>5</v>
      </c>
      <c r="Z5">
        <f>FIND(".",$A5,Y5+1)</f>
        <v>7</v>
      </c>
      <c r="AA5">
        <v>1</v>
      </c>
      <c r="AB5">
        <f>FIND(".",$D5,AA5+1)</f>
        <v>4</v>
      </c>
      <c r="AC5">
        <f>FIND(".",$D5,AB5+1)</f>
        <v>8</v>
      </c>
      <c r="AD5">
        <f>FIND(".",$D5,AC5+1)</f>
        <v>12</v>
      </c>
    </row>
    <row r="6" spans="1:30" x14ac:dyDescent="0.25">
      <c r="A6" t="s">
        <v>8</v>
      </c>
      <c r="B6" t="s">
        <v>79</v>
      </c>
      <c r="C6">
        <f t="shared" si="1"/>
        <v>22</v>
      </c>
      <c r="D6" t="str">
        <f>VLOOKUP(C6,lookups!A:B,2,FALSE)</f>
        <v>255.255.252.0</v>
      </c>
      <c r="E6" s="13">
        <f>INT(MID($A6,W6,X6-1))</f>
        <v>10</v>
      </c>
      <c r="F6" s="14">
        <f>INT(MID($A6,X6+1,Y6-X6-1))</f>
        <v>10</v>
      </c>
      <c r="G6" s="14">
        <f>INT(MID($A6,Y6+1,Z6-Y6-1))</f>
        <v>0</v>
      </c>
      <c r="H6" s="15">
        <f>INT(MID(SUBSTITUTE(A6,_xlfn.CONCAT("/",C6),""),Z6+1,LEN(A6)-Z6))</f>
        <v>0</v>
      </c>
      <c r="I6" s="13" t="str">
        <f>MID(D6,AA6,AB6-1)</f>
        <v>255</v>
      </c>
      <c r="J6" s="14" t="str">
        <f>MID(D6,AB6+1,AC6-AB6-1)</f>
        <v>255</v>
      </c>
      <c r="K6" s="14" t="str">
        <f>MID(D6,AC6+1,AD6-AC6-1)</f>
        <v>252</v>
      </c>
      <c r="L6" s="15" t="str">
        <f>MID(D6,AD6+1,3)</f>
        <v>0</v>
      </c>
      <c r="M6" s="13">
        <f t="shared" si="2"/>
        <v>10</v>
      </c>
      <c r="N6" s="14">
        <f t="shared" si="2"/>
        <v>10</v>
      </c>
      <c r="O6" s="14">
        <f t="shared" si="2"/>
        <v>0</v>
      </c>
      <c r="P6" s="15">
        <f t="shared" si="2"/>
        <v>0</v>
      </c>
      <c r="Q6" s="13">
        <f t="shared" si="3"/>
        <v>10</v>
      </c>
      <c r="R6" s="14">
        <f t="shared" si="0"/>
        <v>10</v>
      </c>
      <c r="S6" s="14">
        <f t="shared" si="0"/>
        <v>3</v>
      </c>
      <c r="T6" s="14">
        <f t="shared" si="0"/>
        <v>255</v>
      </c>
      <c r="W6" s="2">
        <v>1</v>
      </c>
      <c r="X6">
        <f>FIND(".",$A6,W6+1)</f>
        <v>3</v>
      </c>
      <c r="Y6">
        <f>FIND(".",$A6,X6+1)</f>
        <v>6</v>
      </c>
      <c r="Z6">
        <f>FIND(".",$A6,Y6+1)</f>
        <v>8</v>
      </c>
      <c r="AA6">
        <v>1</v>
      </c>
      <c r="AB6">
        <f>FIND(".",$D6,AA6+1)</f>
        <v>4</v>
      </c>
      <c r="AC6">
        <f>FIND(".",$D6,AB6+1)</f>
        <v>8</v>
      </c>
      <c r="AD6">
        <f>FIND(".",$D6,AC6+1)</f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3CB-5ACA-45D2-8898-7BED06D9E194}">
  <dimension ref="A1:L3"/>
  <sheetViews>
    <sheetView workbookViewId="0">
      <pane ySplit="2" topLeftCell="A3" activePane="bottomLeft" state="frozen"/>
      <selection pane="bottomLeft" activeCell="B3" sqref="B3"/>
    </sheetView>
  </sheetViews>
  <sheetFormatPr defaultRowHeight="14.3" x14ac:dyDescent="0.25"/>
  <cols>
    <col min="1" max="4" width="17.25" customWidth="1"/>
    <col min="5" max="5" width="7.25" style="13" customWidth="1"/>
    <col min="6" max="12" width="7.25" style="19" customWidth="1"/>
    <col min="13" max="24" width="17.25" customWidth="1"/>
    <col min="25" max="26" width="16.5" customWidth="1"/>
  </cols>
  <sheetData>
    <row r="1" spans="1:12" x14ac:dyDescent="0.25">
      <c r="E1" s="23" t="s">
        <v>63</v>
      </c>
    </row>
    <row r="2" spans="1:12" x14ac:dyDescent="0.25">
      <c r="A2" s="20" t="s">
        <v>49</v>
      </c>
      <c r="B2" s="20" t="s">
        <v>47</v>
      </c>
      <c r="C2" s="20" t="s">
        <v>74</v>
      </c>
      <c r="E2" s="13" t="s">
        <v>9</v>
      </c>
      <c r="F2" s="19" t="s">
        <v>10</v>
      </c>
      <c r="G2" s="19" t="s">
        <v>11</v>
      </c>
      <c r="H2" s="19" t="s">
        <v>12</v>
      </c>
      <c r="I2" s="19" t="s">
        <v>4</v>
      </c>
      <c r="J2" s="19" t="s">
        <v>5</v>
      </c>
      <c r="K2" s="19" t="s">
        <v>6</v>
      </c>
      <c r="L2" s="19" t="s">
        <v>7</v>
      </c>
    </row>
    <row r="3" spans="1:12" x14ac:dyDescent="0.25">
      <c r="A3" t="s">
        <v>50</v>
      </c>
      <c r="B3" t="str">
        <f t="array" ref="B3">VLOOKUP(1,CHOOSE({1,2},(E3&gt;=data[NW A])*(E3&lt;=data[BC A])*(F3&gt;=data[NW B])*(F3&lt;=data[BC B])*(G3&gt;=data[NW C])*(G3&lt;=data[BC C])*(H3&gt;=data[NW D])*(H3&lt;=data[BC D]),data[Network]),2,FALSE)</f>
        <v>10.0.0.0/24</v>
      </c>
      <c r="C3" t="str">
        <f>VLOOKUP(B3,data[],2,FALSE)</f>
        <v>Prod</v>
      </c>
      <c r="E3" s="13">
        <f>INT(MID($A3,I3,J3-1))</f>
        <v>10</v>
      </c>
      <c r="F3" s="19">
        <f>INT(MID($A3,J3+1,K3-J3-1))</f>
        <v>0</v>
      </c>
      <c r="G3" s="19">
        <f>INT(MID($A3,K3+1,L3-K3-1))</f>
        <v>0</v>
      </c>
      <c r="H3" s="19">
        <f>INT(MID($A3,L3+1,4))</f>
        <v>77</v>
      </c>
      <c r="I3" s="19">
        <v>1</v>
      </c>
      <c r="J3" s="19">
        <f>FIND(".",$A3,I3+1)</f>
        <v>3</v>
      </c>
      <c r="K3" s="19">
        <f>FIND(".",$A3,J3+1)</f>
        <v>5</v>
      </c>
      <c r="L3" s="19">
        <f>FIND(".",$A3,K3+1)</f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E06A-552B-4886-BBF2-E808A97541BB}">
  <dimension ref="A1:B34"/>
  <sheetViews>
    <sheetView workbookViewId="0">
      <selection activeCell="B26" sqref="B26"/>
    </sheetView>
  </sheetViews>
  <sheetFormatPr defaultRowHeight="14.3" x14ac:dyDescent="0.25"/>
  <cols>
    <col min="2" max="2" width="16.25" customWidth="1"/>
  </cols>
  <sheetData>
    <row r="1" spans="1:2" x14ac:dyDescent="0.25">
      <c r="A1" t="s">
        <v>27</v>
      </c>
      <c r="B1" t="s">
        <v>16</v>
      </c>
    </row>
    <row r="2" spans="1:2" x14ac:dyDescent="0.25">
      <c r="A2">
        <v>8</v>
      </c>
      <c r="B2" t="s">
        <v>71</v>
      </c>
    </row>
    <row r="3" spans="1:2" x14ac:dyDescent="0.25">
      <c r="A3">
        <v>9</v>
      </c>
      <c r="B3" t="s">
        <v>70</v>
      </c>
    </row>
    <row r="4" spans="1:2" x14ac:dyDescent="0.25">
      <c r="A4">
        <v>10</v>
      </c>
      <c r="B4" t="s">
        <v>69</v>
      </c>
    </row>
    <row r="5" spans="1:2" x14ac:dyDescent="0.25">
      <c r="A5">
        <v>11</v>
      </c>
      <c r="B5" t="s">
        <v>68</v>
      </c>
    </row>
    <row r="6" spans="1:2" x14ac:dyDescent="0.25">
      <c r="A6">
        <v>12</v>
      </c>
      <c r="B6" t="s">
        <v>67</v>
      </c>
    </row>
    <row r="7" spans="1:2" x14ac:dyDescent="0.25">
      <c r="A7">
        <v>13</v>
      </c>
      <c r="B7" t="s">
        <v>66</v>
      </c>
    </row>
    <row r="8" spans="1:2" x14ac:dyDescent="0.25">
      <c r="A8">
        <v>14</v>
      </c>
      <c r="B8" t="s">
        <v>65</v>
      </c>
    </row>
    <row r="9" spans="1:2" x14ac:dyDescent="0.25">
      <c r="A9">
        <v>15</v>
      </c>
      <c r="B9" t="s">
        <v>64</v>
      </c>
    </row>
    <row r="10" spans="1:2" x14ac:dyDescent="0.25">
      <c r="A10">
        <v>16</v>
      </c>
      <c r="B10" t="s">
        <v>42</v>
      </c>
    </row>
    <row r="11" spans="1:2" x14ac:dyDescent="0.25">
      <c r="A11">
        <v>17</v>
      </c>
      <c r="B11" t="s">
        <v>41</v>
      </c>
    </row>
    <row r="12" spans="1:2" x14ac:dyDescent="0.25">
      <c r="A12">
        <v>18</v>
      </c>
      <c r="B12" t="s">
        <v>40</v>
      </c>
    </row>
    <row r="13" spans="1:2" x14ac:dyDescent="0.25">
      <c r="A13">
        <v>19</v>
      </c>
      <c r="B13" t="s">
        <v>39</v>
      </c>
    </row>
    <row r="14" spans="1:2" x14ac:dyDescent="0.25">
      <c r="A14">
        <v>20</v>
      </c>
      <c r="B14" t="s">
        <v>38</v>
      </c>
    </row>
    <row r="15" spans="1:2" x14ac:dyDescent="0.25">
      <c r="A15">
        <v>21</v>
      </c>
      <c r="B15" t="s">
        <v>37</v>
      </c>
    </row>
    <row r="16" spans="1:2" x14ac:dyDescent="0.25">
      <c r="A16">
        <v>22</v>
      </c>
      <c r="B16" t="s">
        <v>36</v>
      </c>
    </row>
    <row r="17" spans="1:2" x14ac:dyDescent="0.25">
      <c r="A17">
        <v>23</v>
      </c>
      <c r="B17" t="s">
        <v>35</v>
      </c>
    </row>
    <row r="18" spans="1:2" x14ac:dyDescent="0.25">
      <c r="A18">
        <v>24</v>
      </c>
      <c r="B18" t="s">
        <v>28</v>
      </c>
    </row>
    <row r="19" spans="1:2" x14ac:dyDescent="0.25">
      <c r="A19">
        <v>25</v>
      </c>
      <c r="B19" t="s">
        <v>29</v>
      </c>
    </row>
    <row r="20" spans="1:2" x14ac:dyDescent="0.25">
      <c r="A20">
        <v>26</v>
      </c>
      <c r="B20" t="s">
        <v>34</v>
      </c>
    </row>
    <row r="21" spans="1:2" x14ac:dyDescent="0.25">
      <c r="A21">
        <v>27</v>
      </c>
      <c r="B21" t="s">
        <v>33</v>
      </c>
    </row>
    <row r="22" spans="1:2" x14ac:dyDescent="0.25">
      <c r="A22">
        <v>28</v>
      </c>
      <c r="B22" t="s">
        <v>32</v>
      </c>
    </row>
    <row r="23" spans="1:2" x14ac:dyDescent="0.25">
      <c r="A23">
        <v>29</v>
      </c>
      <c r="B23" t="s">
        <v>31</v>
      </c>
    </row>
    <row r="24" spans="1:2" x14ac:dyDescent="0.25">
      <c r="A24">
        <v>30</v>
      </c>
      <c r="B24" t="s">
        <v>30</v>
      </c>
    </row>
    <row r="25" spans="1:2" x14ac:dyDescent="0.25">
      <c r="A25">
        <v>31</v>
      </c>
      <c r="B25" t="s">
        <v>72</v>
      </c>
    </row>
    <row r="26" spans="1:2" x14ac:dyDescent="0.25">
      <c r="A26">
        <v>32</v>
      </c>
      <c r="B26" t="s">
        <v>73</v>
      </c>
    </row>
    <row r="33" spans="2:2" x14ac:dyDescent="0.25">
      <c r="B33" s="1"/>
    </row>
    <row r="34" spans="2:2" x14ac:dyDescent="0.25">
      <c r="B3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A07A-3F3E-4A7B-B314-6A46048DDD21}">
  <dimension ref="A1:T34"/>
  <sheetViews>
    <sheetView workbookViewId="0">
      <selection activeCell="E12" sqref="E12"/>
    </sheetView>
  </sheetViews>
  <sheetFormatPr defaultRowHeight="14.3" x14ac:dyDescent="0.25"/>
  <cols>
    <col min="1" max="1" width="12.125" customWidth="1"/>
    <col min="2" max="2" width="15" customWidth="1"/>
  </cols>
  <sheetData>
    <row r="1" spans="1:19" x14ac:dyDescent="0.25">
      <c r="A1" t="s">
        <v>17</v>
      </c>
      <c r="B1">
        <v>192</v>
      </c>
      <c r="C1">
        <v>168</v>
      </c>
      <c r="D1">
        <v>88</v>
      </c>
      <c r="E1">
        <v>1</v>
      </c>
    </row>
    <row r="2" spans="1:19" x14ac:dyDescent="0.25">
      <c r="A2" t="s">
        <v>16</v>
      </c>
      <c r="B2">
        <v>255</v>
      </c>
      <c r="C2">
        <v>255</v>
      </c>
      <c r="D2">
        <v>0</v>
      </c>
      <c r="E2">
        <v>0</v>
      </c>
    </row>
    <row r="4" spans="1:19" x14ac:dyDescent="0.25">
      <c r="A4" t="s">
        <v>14</v>
      </c>
      <c r="B4">
        <f>_xlfn.BITAND(B1,B2)</f>
        <v>192</v>
      </c>
      <c r="C4">
        <f>_xlfn.BITAND(C1,C2)</f>
        <v>168</v>
      </c>
      <c r="D4">
        <f>_xlfn.BITAND(D1,D2)</f>
        <v>0</v>
      </c>
      <c r="E4">
        <f>_xlfn.BITAND(E1,E2)</f>
        <v>0</v>
      </c>
    </row>
    <row r="5" spans="1:19" x14ac:dyDescent="0.25">
      <c r="A5" t="s">
        <v>15</v>
      </c>
      <c r="B5">
        <f>_xlfn.BITOR(B4,255-B2)</f>
        <v>192</v>
      </c>
      <c r="C5">
        <f>_xlfn.BITOR(C4,255-C2)</f>
        <v>168</v>
      </c>
      <c r="D5">
        <f>_xlfn.BITOR(D4,255-D2)</f>
        <v>255</v>
      </c>
      <c r="E5">
        <f>_xlfn.BITOR(E4,255-E2)</f>
        <v>255</v>
      </c>
    </row>
    <row r="16" spans="1:19" x14ac:dyDescent="0.25">
      <c r="D16" s="13"/>
      <c r="E16" s="14"/>
      <c r="F16" s="14"/>
      <c r="G16" s="15"/>
      <c r="H16" s="13"/>
      <c r="I16" s="14"/>
      <c r="J16" s="14"/>
      <c r="K16" s="15"/>
      <c r="L16" s="13"/>
      <c r="M16" s="14"/>
      <c r="N16" s="14"/>
      <c r="O16" s="15"/>
      <c r="P16" s="13"/>
      <c r="Q16" s="14"/>
      <c r="R16" s="14"/>
      <c r="S16" s="15"/>
    </row>
    <row r="17" spans="1:20" x14ac:dyDescent="0.25">
      <c r="D17" s="13"/>
      <c r="E17" s="14"/>
      <c r="F17" s="14"/>
      <c r="G17" s="15"/>
      <c r="H17" s="13"/>
      <c r="I17" s="14"/>
      <c r="J17" s="14"/>
      <c r="K17" s="15"/>
      <c r="L17" s="13"/>
      <c r="M17" s="14"/>
      <c r="N17" s="14"/>
      <c r="O17" s="15"/>
      <c r="P17" s="13"/>
      <c r="Q17" s="14"/>
      <c r="R17" s="14"/>
      <c r="S17" s="15"/>
    </row>
    <row r="18" spans="1:20" x14ac:dyDescent="0.25">
      <c r="A18" t="s">
        <v>50</v>
      </c>
      <c r="D18" s="16">
        <f>INT(MID($A18,'ips to lookup'!I3,'ips to lookup'!J3-1))</f>
        <v>10</v>
      </c>
      <c r="E18" s="17">
        <f>INT(MID($A18,'ips to lookup'!J3+1,'ips to lookup'!K3-'ips to lookup'!J3-1))</f>
        <v>0</v>
      </c>
      <c r="F18" s="17">
        <f>INT(MID($A18,'ips to lookup'!K3+1,'ips to lookup'!L3-'ips to lookup'!K3-1))</f>
        <v>0</v>
      </c>
      <c r="G18" s="18">
        <f>INT(MID(SUBSTITUTE(A18,_xlfn.CONCAT("/",B18),""),'ips to lookup'!L3+1,LEN(A18)-'ips to lookup'!L3))</f>
        <v>77</v>
      </c>
      <c r="H18" s="13">
        <f t="array" ref="H18:H21">(D18&gt;=data[NW A])*(D18&lt;=data[BC A])*(E18&gt;=data[NW B])*(E18&lt;=data[BC B])*(F18&gt;=data[NW C])*(F18&lt;=data[BC C])*(G18&gt;=data[NW D])*(G18&lt;=data[BC D])</f>
        <v>1</v>
      </c>
      <c r="I18" s="14"/>
      <c r="J18" s="14"/>
      <c r="K18" s="15"/>
      <c r="L18" s="13"/>
      <c r="M18" s="14"/>
      <c r="N18" s="14"/>
      <c r="O18" s="15"/>
      <c r="P18" s="13" cm="1">
        <f t="array" ref="P18:Q21">CHOOSE({1,2},(D18&gt;=data[NW A])*(D18&lt;=data[BC A])*(E18&gt;=data[NW B])*(E18&lt;=data[BC B])*(F18&gt;=data[NW C])*(F18&lt;=data[BC C])*(G18&gt;=data[NW D])*(G18&lt;=data[BC D]),data[Network])</f>
        <v>1</v>
      </c>
      <c r="Q18" s="14" t="str">
        <v>10.0.0.0/24</v>
      </c>
      <c r="R18" s="14"/>
      <c r="S18" s="15"/>
      <c r="T18" t="str" cm="1">
        <f t="array" ref="T18">VLOOKUP(1,CHOOSE({1,2},(D18&gt;=data[NW A])*(D18&lt;=data[BC A])*(E18&gt;=data[NW B])*(E18&lt;=data[BC B])*(F18&gt;=data[NW C])*(F18&lt;=data[BC C])*(G18&gt;=data[NW D])*(G18&lt;=data[BC D]),data[Network]),2,FALSE)</f>
        <v>10.0.0.0/24</v>
      </c>
    </row>
    <row r="19" spans="1:20" x14ac:dyDescent="0.25">
      <c r="D19" s="13"/>
      <c r="E19" s="14"/>
      <c r="F19" s="14"/>
      <c r="G19" s="15"/>
      <c r="H19" s="13">
        <v>0</v>
      </c>
      <c r="I19" s="14"/>
      <c r="J19" s="14"/>
      <c r="K19" s="15"/>
      <c r="L19" s="13"/>
      <c r="M19" s="14"/>
      <c r="N19" s="14"/>
      <c r="O19" s="15"/>
      <c r="P19" s="13">
        <v>0</v>
      </c>
      <c r="Q19" s="14" t="str">
        <v>192.168.1.0/25</v>
      </c>
      <c r="R19" s="14"/>
      <c r="S19" s="15"/>
    </row>
    <row r="20" spans="1:20" x14ac:dyDescent="0.25">
      <c r="D20" s="13"/>
      <c r="E20" s="14"/>
      <c r="F20" s="14"/>
      <c r="G20" s="15"/>
      <c r="H20" s="13">
        <v>0</v>
      </c>
      <c r="I20" s="14"/>
      <c r="J20" s="14"/>
      <c r="K20" s="15"/>
      <c r="L20" s="13"/>
      <c r="M20" s="14"/>
      <c r="N20" s="14"/>
      <c r="O20" s="15"/>
      <c r="P20" s="13">
        <v>0</v>
      </c>
      <c r="Q20" s="14" t="str">
        <v>10.1.1.0/23</v>
      </c>
      <c r="R20" s="14"/>
      <c r="S20" s="15"/>
    </row>
    <row r="21" spans="1:20" x14ac:dyDescent="0.25">
      <c r="D21" s="13"/>
      <c r="E21" s="14"/>
      <c r="F21" s="14"/>
      <c r="G21" s="15"/>
      <c r="H21" s="13">
        <v>0</v>
      </c>
      <c r="I21" s="14"/>
      <c r="J21" s="14"/>
      <c r="K21" s="15"/>
      <c r="L21" s="13"/>
      <c r="M21" s="14"/>
      <c r="N21" s="14"/>
      <c r="O21" s="15"/>
      <c r="P21" s="13">
        <v>0</v>
      </c>
      <c r="Q21" s="14" t="str">
        <v>10.10.0.0/22</v>
      </c>
      <c r="R21" s="14"/>
      <c r="S21" s="15"/>
    </row>
    <row r="22" spans="1:20" x14ac:dyDescent="0.25">
      <c r="D22" s="13"/>
      <c r="E22" s="14"/>
      <c r="F22" s="14"/>
      <c r="G22" s="15"/>
      <c r="H22" s="13"/>
      <c r="I22" s="14"/>
      <c r="J22" s="14"/>
      <c r="K22" s="15"/>
      <c r="L22" s="13"/>
      <c r="M22" s="14"/>
      <c r="N22" s="14"/>
      <c r="O22" s="15"/>
      <c r="P22" s="13"/>
      <c r="Q22" s="14"/>
      <c r="R22" s="14"/>
      <c r="S22" s="15"/>
    </row>
    <row r="23" spans="1:20" x14ac:dyDescent="0.25">
      <c r="D23" s="13"/>
      <c r="E23" s="14"/>
      <c r="F23" s="14"/>
      <c r="G23" s="15"/>
      <c r="H23" s="13"/>
      <c r="I23" s="14"/>
      <c r="J23" s="14"/>
      <c r="K23" s="15"/>
      <c r="L23" s="13"/>
      <c r="M23" s="14"/>
      <c r="N23" s="14"/>
      <c r="O23" s="15"/>
      <c r="P23" s="13"/>
      <c r="Q23" s="14"/>
      <c r="R23" s="14"/>
      <c r="S23" s="15"/>
    </row>
    <row r="24" spans="1:20" x14ac:dyDescent="0.25">
      <c r="D24" s="13"/>
      <c r="E24" s="14"/>
      <c r="F24" s="14"/>
      <c r="G24" s="15"/>
      <c r="H24" s="13" t="b" cm="1">
        <f t="array" ref="H24:H27">(D18&gt;=data[NW A])</f>
        <v>1</v>
      </c>
      <c r="I24" s="14" t="b" cm="1">
        <f t="array" ref="I24:I27">(D18&lt;=data[BC A])</f>
        <v>1</v>
      </c>
      <c r="J24" s="14" t="b" cm="1">
        <f t="array" ref="J24:J27">(E18&gt;=data[NW B])</f>
        <v>1</v>
      </c>
      <c r="K24" s="15" t="b">
        <f t="array" ref="K24:K27">(E18&lt;=data[BC B])</f>
        <v>1</v>
      </c>
      <c r="L24" s="13" t="b" cm="1">
        <f t="array" ref="L24:L27">(F18&gt;=data[NW C])</f>
        <v>1</v>
      </c>
      <c r="M24" s="14" t="b" cm="1">
        <f t="array" ref="M24:M27">(F18&lt;=data[BC C])</f>
        <v>1</v>
      </c>
      <c r="N24" s="14" t="b" cm="1">
        <f t="array" ref="N24:N27">(G18&gt;=data[NW D])</f>
        <v>1</v>
      </c>
      <c r="O24" s="15" t="b" cm="1">
        <f t="array" ref="O24:O27">(G18&lt;=data[BC D])</f>
        <v>1</v>
      </c>
      <c r="P24" s="13"/>
      <c r="Q24" s="14"/>
      <c r="R24" s="14"/>
      <c r="S24" s="15"/>
    </row>
    <row r="25" spans="1:20" x14ac:dyDescent="0.25">
      <c r="D25" s="13"/>
      <c r="E25" s="14"/>
      <c r="F25" s="14"/>
      <c r="G25" s="15"/>
      <c r="H25" s="13" t="b">
        <v>0</v>
      </c>
      <c r="I25" s="14" t="b">
        <v>1</v>
      </c>
      <c r="J25" s="14" t="b">
        <v>0</v>
      </c>
      <c r="K25" s="15" t="b">
        <v>1</v>
      </c>
      <c r="L25" s="13" t="b">
        <v>0</v>
      </c>
      <c r="M25" s="14" t="b">
        <v>1</v>
      </c>
      <c r="N25" s="14" t="b">
        <v>1</v>
      </c>
      <c r="O25" s="15" t="b">
        <v>1</v>
      </c>
      <c r="P25" s="13"/>
      <c r="Q25" s="14"/>
      <c r="R25" s="14"/>
      <c r="S25" s="15"/>
    </row>
    <row r="26" spans="1:20" x14ac:dyDescent="0.25">
      <c r="D26" s="13"/>
      <c r="E26" s="14"/>
      <c r="F26" s="14"/>
      <c r="G26" s="15"/>
      <c r="H26" s="13" t="b">
        <v>1</v>
      </c>
      <c r="I26" s="14" t="b">
        <v>1</v>
      </c>
      <c r="J26" s="14" t="b">
        <v>0</v>
      </c>
      <c r="K26" s="15" t="b">
        <v>1</v>
      </c>
      <c r="L26" s="13" t="b">
        <v>1</v>
      </c>
      <c r="M26" s="14" t="b">
        <v>1</v>
      </c>
      <c r="N26" s="14" t="b">
        <v>1</v>
      </c>
      <c r="O26" s="15" t="b">
        <v>1</v>
      </c>
      <c r="P26" s="13"/>
      <c r="Q26" s="14"/>
      <c r="R26" s="14"/>
      <c r="S26" s="15"/>
    </row>
    <row r="27" spans="1:20" x14ac:dyDescent="0.25">
      <c r="D27" s="13"/>
      <c r="E27" s="14"/>
      <c r="F27" s="14"/>
      <c r="G27" s="15"/>
      <c r="H27" s="13" t="b">
        <v>1</v>
      </c>
      <c r="I27" s="14" t="b">
        <v>1</v>
      </c>
      <c r="J27" s="14" t="b">
        <v>0</v>
      </c>
      <c r="K27" s="15" t="b">
        <v>1</v>
      </c>
      <c r="L27" s="13" t="b">
        <v>1</v>
      </c>
      <c r="M27" s="14" t="b">
        <v>1</v>
      </c>
      <c r="N27" s="14" t="b">
        <v>1</v>
      </c>
      <c r="O27" s="15" t="b">
        <v>1</v>
      </c>
      <c r="P27" s="13"/>
      <c r="Q27" s="14"/>
      <c r="R27" s="14"/>
      <c r="S27" s="15"/>
    </row>
    <row r="28" spans="1:20" x14ac:dyDescent="0.25">
      <c r="D28" s="13"/>
      <c r="E28" s="14"/>
      <c r="F28" s="14"/>
      <c r="G28" s="15"/>
      <c r="H28" s="13"/>
      <c r="I28" s="14"/>
      <c r="J28" s="14"/>
      <c r="K28" s="15"/>
      <c r="L28" s="13"/>
      <c r="M28" s="14"/>
      <c r="N28" s="14"/>
      <c r="O28" s="15"/>
      <c r="P28" s="13"/>
      <c r="Q28" s="14"/>
      <c r="R28" s="14"/>
      <c r="S28" s="15"/>
    </row>
    <row r="29" spans="1:20" x14ac:dyDescent="0.25">
      <c r="D29" s="13"/>
      <c r="E29" s="14"/>
      <c r="F29" s="14"/>
      <c r="G29" s="15"/>
      <c r="H29" s="13"/>
      <c r="I29" s="14"/>
      <c r="J29" s="14"/>
      <c r="K29" s="15"/>
      <c r="L29" s="13"/>
      <c r="M29" s="14"/>
      <c r="N29" s="14"/>
      <c r="O29" s="15"/>
      <c r="P29" s="13"/>
      <c r="Q29" s="14"/>
      <c r="R29" s="14"/>
      <c r="S29" s="15"/>
    </row>
    <row r="30" spans="1:20" x14ac:dyDescent="0.25">
      <c r="D30" s="13"/>
      <c r="E30" s="14"/>
      <c r="F30" s="14"/>
      <c r="G30" s="15"/>
      <c r="H30" s="13"/>
      <c r="I30" s="14"/>
      <c r="J30" s="14"/>
      <c r="K30" s="15"/>
      <c r="L30" s="13"/>
      <c r="M30" s="14"/>
      <c r="N30" s="14"/>
      <c r="O30" s="15"/>
      <c r="P30" s="13"/>
      <c r="Q30" s="14"/>
      <c r="R30" s="14"/>
      <c r="S30" s="15"/>
    </row>
    <row r="31" spans="1:20" x14ac:dyDescent="0.25">
      <c r="D31" s="13"/>
      <c r="E31" s="14"/>
      <c r="F31" s="14"/>
      <c r="G31" s="15"/>
      <c r="H31" s="13"/>
      <c r="I31" s="14"/>
      <c r="J31" s="14"/>
      <c r="K31" s="15"/>
      <c r="L31" s="13"/>
      <c r="M31" s="14"/>
      <c r="N31" s="14"/>
      <c r="O31" s="15"/>
      <c r="P31" s="13"/>
      <c r="Q31" s="14"/>
      <c r="R31" s="14"/>
      <c r="S31" s="15"/>
    </row>
    <row r="32" spans="1:20" x14ac:dyDescent="0.25">
      <c r="D32" s="13"/>
      <c r="E32" s="14"/>
      <c r="F32" s="14"/>
      <c r="G32" s="15"/>
      <c r="H32" s="13"/>
      <c r="I32" s="14"/>
      <c r="J32" s="14"/>
      <c r="K32" s="15"/>
      <c r="L32" s="13"/>
      <c r="M32" s="14"/>
      <c r="N32" s="14"/>
      <c r="O32" s="15"/>
      <c r="P32" s="13"/>
      <c r="Q32" s="14"/>
      <c r="R32" s="14"/>
      <c r="S32" s="15"/>
    </row>
    <row r="33" spans="4:19" x14ac:dyDescent="0.25">
      <c r="D33" s="13"/>
      <c r="E33" s="14"/>
      <c r="F33" s="14"/>
      <c r="G33" s="15"/>
      <c r="H33" s="13"/>
      <c r="I33" s="14"/>
      <c r="J33" s="14"/>
      <c r="K33" s="15"/>
      <c r="L33" s="13"/>
      <c r="M33" s="14"/>
      <c r="N33" s="14"/>
      <c r="O33" s="15"/>
      <c r="P33" s="13"/>
      <c r="Q33" s="14"/>
      <c r="R33" s="14"/>
      <c r="S33" s="15"/>
    </row>
    <row r="34" spans="4:19" x14ac:dyDescent="0.25">
      <c r="D34" s="13"/>
      <c r="E34" s="14"/>
      <c r="F34" s="14"/>
      <c r="G34" s="15"/>
      <c r="H34" s="13"/>
      <c r="I34" s="14"/>
      <c r="J34" s="14"/>
      <c r="K34" s="15"/>
      <c r="L34" s="13"/>
      <c r="M34" s="14"/>
      <c r="N34" s="14"/>
      <c r="O34" s="15"/>
      <c r="P34" s="13"/>
      <c r="Q34" s="14"/>
      <c r="R34" s="14"/>
      <c r="S3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 inventory</vt:lpstr>
      <vt:lpstr>ips to lookup</vt:lpstr>
      <vt:lpstr>lookups</vt:lpstr>
      <vt:lpstr>poc-scratchings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Fernando, Chris</dc:creator>
  <cp:lastModifiedBy>Fernando, Chris</cp:lastModifiedBy>
  <dcterms:created xsi:type="dcterms:W3CDTF">2022-01-18T07:17:29Z</dcterms:created>
  <dcterms:modified xsi:type="dcterms:W3CDTF">2022-01-20T12:55:09Z</dcterms:modified>
</cp:coreProperties>
</file>