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4d0b76c0cf4a1f/career/"/>
    </mc:Choice>
  </mc:AlternateContent>
  <xr:revisionPtr revIDLastSave="18" documentId="8_{1E8BB316-5A33-4284-8CB3-EE014AE17055}" xr6:coauthVersionLast="45" xr6:coauthVersionMax="45" xr10:uidLastSave="{FCF956CB-C1CB-4B06-A80D-231064088B5C}"/>
  <bookViews>
    <workbookView xWindow="-98" yWindow="-98" windowWidth="20715" windowHeight="13425" xr2:uid="{8AF0B2D8-1A7B-4F7C-8930-FF30B0ED214A}"/>
  </bookViews>
  <sheets>
    <sheet name="Pro Forma" sheetId="2" r:id="rId1"/>
    <sheet name="Snapshot" sheetId="4" r:id="rId2"/>
    <sheet name="Historical" sheetId="1" r:id="rId3"/>
  </sheets>
  <definedNames>
    <definedName name="coupon">'Pro Forma'!$B$60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0" i="2" l="1"/>
  <c r="F95" i="2"/>
  <c r="E95" i="2"/>
  <c r="F94" i="2"/>
  <c r="G94" i="2"/>
  <c r="H94" i="2"/>
  <c r="I94" i="2"/>
  <c r="J94" i="2"/>
  <c r="K94" i="2"/>
  <c r="L94" i="2"/>
  <c r="M94" i="2"/>
  <c r="N94" i="2"/>
  <c r="O94" i="2"/>
  <c r="P94" i="2"/>
  <c r="Q94" i="2"/>
  <c r="G93" i="2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F93" i="2"/>
  <c r="G92" i="2"/>
  <c r="H92" i="2" s="1"/>
  <c r="I92" i="2" s="1"/>
  <c r="J92" i="2" s="1"/>
  <c r="F92" i="2"/>
  <c r="AA86" i="2"/>
  <c r="AA88" i="2" s="1"/>
  <c r="F101" i="2"/>
  <c r="G101" i="2" s="1"/>
  <c r="H101" i="2" s="1"/>
  <c r="I101" i="2" s="1"/>
  <c r="J101" i="2" s="1"/>
  <c r="E94" i="2"/>
  <c r="D97" i="2"/>
  <c r="D95" i="2"/>
  <c r="F91" i="2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E48" i="2"/>
  <c r="AB86" i="2"/>
  <c r="AB88" i="2" s="1"/>
  <c r="G46" i="2" s="1"/>
  <c r="G86" i="2"/>
  <c r="G88" i="2" s="1"/>
  <c r="H86" i="2"/>
  <c r="H88" i="2" s="1"/>
  <c r="I86" i="2"/>
  <c r="I88" i="2" s="1"/>
  <c r="J86" i="2"/>
  <c r="J88" i="2" s="1"/>
  <c r="K86" i="2"/>
  <c r="K88" i="2" s="1"/>
  <c r="L86" i="2"/>
  <c r="L88" i="2" s="1"/>
  <c r="M86" i="2"/>
  <c r="M88" i="2" s="1"/>
  <c r="N86" i="2"/>
  <c r="N88" i="2" s="1"/>
  <c r="O86" i="2"/>
  <c r="O88" i="2" s="1"/>
  <c r="P86" i="2"/>
  <c r="P88" i="2" s="1"/>
  <c r="Q86" i="2"/>
  <c r="Q88" i="2" s="1"/>
  <c r="R86" i="2"/>
  <c r="R88" i="2" s="1"/>
  <c r="S86" i="2"/>
  <c r="S88" i="2" s="1"/>
  <c r="T86" i="2"/>
  <c r="T88" i="2" s="1"/>
  <c r="U86" i="2"/>
  <c r="U88" i="2" s="1"/>
  <c r="V86" i="2"/>
  <c r="V88" i="2" s="1"/>
  <c r="W86" i="2"/>
  <c r="W88" i="2" s="1"/>
  <c r="X86" i="2"/>
  <c r="X88" i="2" s="1"/>
  <c r="Y86" i="2"/>
  <c r="Y88" i="2" s="1"/>
  <c r="Z86" i="2"/>
  <c r="Z88" i="2" s="1"/>
  <c r="E46" i="2" s="1"/>
  <c r="F86" i="2"/>
  <c r="F88" i="2" s="1"/>
  <c r="F84" i="2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K92" i="2" l="1"/>
  <c r="L92" i="2" s="1"/>
  <c r="M92" i="2" s="1"/>
  <c r="N92" i="2" s="1"/>
  <c r="O92" i="2" s="1"/>
  <c r="P92" i="2" s="1"/>
  <c r="Q92" i="2" s="1"/>
  <c r="AA85" i="2"/>
  <c r="AB85" i="2" s="1"/>
  <c r="F46" i="2"/>
  <c r="AC86" i="2"/>
  <c r="AC85" i="2" l="1"/>
  <c r="AD86" i="2"/>
  <c r="AC88" i="2"/>
  <c r="I79" i="2"/>
  <c r="H79" i="2"/>
  <c r="G79" i="2"/>
  <c r="F79" i="2"/>
  <c r="E79" i="2"/>
  <c r="E126" i="2" s="1"/>
  <c r="F125" i="2"/>
  <c r="E122" i="2"/>
  <c r="AD85" i="2" l="1"/>
  <c r="AE85" i="2" s="1"/>
  <c r="F122" i="2"/>
  <c r="G125" i="2"/>
  <c r="H125" i="2" s="1"/>
  <c r="I125" i="2" s="1"/>
  <c r="J125" i="2" s="1"/>
  <c r="H46" i="2"/>
  <c r="AD88" i="2"/>
  <c r="I46" i="2" s="1"/>
  <c r="AE86" i="2"/>
  <c r="AE88" i="2" s="1"/>
  <c r="J46" i="2" s="1"/>
  <c r="E107" i="2"/>
  <c r="G106" i="2"/>
  <c r="G107" i="2" s="1"/>
  <c r="G108" i="2" s="1"/>
  <c r="G109" i="2" s="1"/>
  <c r="F106" i="2"/>
  <c r="F107" i="2" s="1"/>
  <c r="F108" i="2" s="1"/>
  <c r="E106" i="2"/>
  <c r="D106" i="2"/>
  <c r="B104" i="2"/>
  <c r="I106" i="2" s="1"/>
  <c r="H103" i="2"/>
  <c r="H106" i="2" s="1"/>
  <c r="H107" i="2" s="1"/>
  <c r="H108" i="2" s="1"/>
  <c r="H109" i="2" s="1"/>
  <c r="H110" i="2" s="1"/>
  <c r="G103" i="2"/>
  <c r="I108" i="2" l="1"/>
  <c r="B108" i="2" s="1"/>
  <c r="I107" i="2"/>
  <c r="I110" i="2"/>
  <c r="B110" i="2" s="1"/>
  <c r="I109" i="2"/>
  <c r="B109" i="2" s="1"/>
  <c r="I111" i="2"/>
  <c r="B111" i="2" s="1"/>
  <c r="G122" i="2"/>
  <c r="B107" i="2"/>
  <c r="I112" i="2" l="1"/>
  <c r="B112" i="2" s="1"/>
  <c r="H122" i="2"/>
  <c r="E209" i="2"/>
  <c r="E212" i="2" s="1"/>
  <c r="L211" i="2"/>
  <c r="B204" i="2"/>
  <c r="L210" i="2" s="1"/>
  <c r="L212" i="2" s="1"/>
  <c r="E196" i="2"/>
  <c r="J195" i="2"/>
  <c r="B188" i="2"/>
  <c r="G194" i="2" s="1"/>
  <c r="G196" i="2" s="1"/>
  <c r="E193" i="2"/>
  <c r="E177" i="2"/>
  <c r="E180" i="2" s="1"/>
  <c r="B175" i="2"/>
  <c r="F178" i="2" s="1"/>
  <c r="F180" i="2" s="1"/>
  <c r="B171" i="2"/>
  <c r="B172" i="2"/>
  <c r="B154" i="2"/>
  <c r="G158" i="2" s="1"/>
  <c r="G160" i="2" s="1"/>
  <c r="B149" i="2"/>
  <c r="B152" i="2" s="1"/>
  <c r="E160" i="2"/>
  <c r="F139" i="2"/>
  <c r="F141" i="2" s="1"/>
  <c r="G139" i="2"/>
  <c r="G141" i="2" s="1"/>
  <c r="H139" i="2"/>
  <c r="H141" i="2" s="1"/>
  <c r="I139" i="2"/>
  <c r="I141" i="2" s="1"/>
  <c r="J139" i="2"/>
  <c r="J141" i="2" s="1"/>
  <c r="K139" i="2"/>
  <c r="K141" i="2" s="1"/>
  <c r="L139" i="2"/>
  <c r="L141" i="2" s="1"/>
  <c r="M139" i="2"/>
  <c r="M141" i="2" s="1"/>
  <c r="N139" i="2"/>
  <c r="N141" i="2" s="1"/>
  <c r="O139" i="2"/>
  <c r="E115" i="2"/>
  <c r="F115" i="2" s="1"/>
  <c r="G115" i="2" s="1"/>
  <c r="H115" i="2" s="1"/>
  <c r="I115" i="2" s="1"/>
  <c r="J115" i="2" s="1"/>
  <c r="E141" i="2"/>
  <c r="O140" i="2"/>
  <c r="J62" i="4"/>
  <c r="V67" i="4"/>
  <c r="B28" i="4"/>
  <c r="E78" i="2"/>
  <c r="F65" i="2"/>
  <c r="G65" i="2"/>
  <c r="H65" i="2"/>
  <c r="I65" i="2"/>
  <c r="E65" i="2"/>
  <c r="E59" i="2"/>
  <c r="F75" i="2"/>
  <c r="J73" i="2"/>
  <c r="F69" i="2"/>
  <c r="D63" i="2"/>
  <c r="E63" i="2"/>
  <c r="C63" i="2"/>
  <c r="C36" i="2"/>
  <c r="D36" i="2"/>
  <c r="B36" i="2"/>
  <c r="B38" i="2"/>
  <c r="C38" i="2"/>
  <c r="D38" i="2"/>
  <c r="B39" i="2"/>
  <c r="C39" i="2"/>
  <c r="D39" i="2"/>
  <c r="E39" i="2" s="1"/>
  <c r="F39" i="2" s="1"/>
  <c r="G39" i="2" s="1"/>
  <c r="H39" i="2" s="1"/>
  <c r="I39" i="2" s="1"/>
  <c r="J39" i="2" s="1"/>
  <c r="C37" i="2"/>
  <c r="D37" i="2"/>
  <c r="E37" i="2" s="1"/>
  <c r="F37" i="2" s="1"/>
  <c r="G37" i="2" s="1"/>
  <c r="H37" i="2" s="1"/>
  <c r="I37" i="2" s="1"/>
  <c r="J37" i="2" s="1"/>
  <c r="B37" i="2"/>
  <c r="C48" i="2"/>
  <c r="D48" i="2"/>
  <c r="B48" i="2"/>
  <c r="C47" i="2"/>
  <c r="D47" i="2"/>
  <c r="B47" i="2"/>
  <c r="I122" i="2" l="1"/>
  <c r="H178" i="2"/>
  <c r="G178" i="2"/>
  <c r="G180" i="2" s="1"/>
  <c r="J210" i="2"/>
  <c r="J212" i="2" s="1"/>
  <c r="I210" i="2"/>
  <c r="I212" i="2" s="1"/>
  <c r="F210" i="2"/>
  <c r="F212" i="2" s="1"/>
  <c r="H210" i="2"/>
  <c r="H212" i="2" s="1"/>
  <c r="G210" i="2"/>
  <c r="G212" i="2" s="1"/>
  <c r="K210" i="2"/>
  <c r="K212" i="2" s="1"/>
  <c r="F194" i="2"/>
  <c r="F196" i="2" s="1"/>
  <c r="H194" i="2"/>
  <c r="H196" i="2" s="1"/>
  <c r="J194" i="2"/>
  <c r="J196" i="2" s="1"/>
  <c r="I194" i="2"/>
  <c r="I196" i="2" s="1"/>
  <c r="B151" i="2"/>
  <c r="H159" i="2" s="1"/>
  <c r="B173" i="2"/>
  <c r="H179" i="2" s="1"/>
  <c r="O159" i="2"/>
  <c r="B155" i="2"/>
  <c r="O158" i="2" s="1"/>
  <c r="O141" i="2"/>
  <c r="B143" i="2" s="1"/>
  <c r="B144" i="2" s="1"/>
  <c r="F158" i="2"/>
  <c r="F160" i="2" s="1"/>
  <c r="H158" i="2"/>
  <c r="E38" i="2"/>
  <c r="F38" i="2" s="1"/>
  <c r="G38" i="2" s="1"/>
  <c r="H38" i="2" s="1"/>
  <c r="I38" i="2" s="1"/>
  <c r="J38" i="2" s="1"/>
  <c r="E36" i="2"/>
  <c r="F36" i="2" s="1"/>
  <c r="J122" i="2" l="1"/>
  <c r="H160" i="2"/>
  <c r="H180" i="2"/>
  <c r="B181" i="2" s="1"/>
  <c r="B182" i="2"/>
  <c r="B183" i="2" s="1"/>
  <c r="O160" i="2"/>
  <c r="B213" i="2"/>
  <c r="B214" i="2"/>
  <c r="B215" i="2" s="1"/>
  <c r="B142" i="2"/>
  <c r="B198" i="2"/>
  <c r="B199" i="2" s="1"/>
  <c r="B197" i="2"/>
  <c r="N158" i="2"/>
  <c r="N160" i="2" s="1"/>
  <c r="J158" i="2"/>
  <c r="J160" i="2" s="1"/>
  <c r="M158" i="2"/>
  <c r="M160" i="2" s="1"/>
  <c r="I158" i="2"/>
  <c r="I160" i="2" s="1"/>
  <c r="L158" i="2"/>
  <c r="L160" i="2" s="1"/>
  <c r="K158" i="2"/>
  <c r="K160" i="2" s="1"/>
  <c r="G36" i="2"/>
  <c r="B162" i="2" l="1"/>
  <c r="B163" i="2" s="1"/>
  <c r="B161" i="2"/>
  <c r="H36" i="2"/>
  <c r="I36" i="2" l="1"/>
  <c r="J36" i="2" s="1"/>
  <c r="B32" i="2" l="1"/>
  <c r="B30" i="2"/>
  <c r="B29" i="2"/>
  <c r="B28" i="2"/>
  <c r="C29" i="2"/>
  <c r="D29" i="2"/>
  <c r="C30" i="2"/>
  <c r="D30" i="2"/>
  <c r="C32" i="2"/>
  <c r="D32" i="2"/>
  <c r="D28" i="2"/>
  <c r="C28" i="2"/>
  <c r="D25" i="2"/>
  <c r="C25" i="2"/>
  <c r="E57" i="2"/>
  <c r="E81" i="2" s="1"/>
  <c r="D11" i="2"/>
  <c r="C11" i="2"/>
  <c r="C31" i="2" s="1"/>
  <c r="B11" i="2"/>
  <c r="B31" i="2" s="1"/>
  <c r="D6" i="2"/>
  <c r="D26" i="2" s="1"/>
  <c r="C6" i="2"/>
  <c r="C26" i="2" s="1"/>
  <c r="B6" i="2"/>
  <c r="B26" i="2" s="1"/>
  <c r="F56" i="1"/>
  <c r="F55" i="1"/>
  <c r="F57" i="1" s="1"/>
  <c r="F58" i="1" s="1"/>
  <c r="E47" i="1"/>
  <c r="C47" i="1"/>
  <c r="D45" i="1"/>
  <c r="D47" i="1" s="1"/>
  <c r="E45" i="1"/>
  <c r="C45" i="1"/>
  <c r="G5" i="1"/>
  <c r="G3" i="1"/>
  <c r="C34" i="1"/>
  <c r="E34" i="1"/>
  <c r="E35" i="1"/>
  <c r="C36" i="1"/>
  <c r="D36" i="1"/>
  <c r="C37" i="1"/>
  <c r="E33" i="1"/>
  <c r="C33" i="1"/>
  <c r="E10" i="1"/>
  <c r="E36" i="1" s="1"/>
  <c r="D10" i="1"/>
  <c r="C10" i="1"/>
  <c r="D5" i="1"/>
  <c r="D34" i="1" s="1"/>
  <c r="E5" i="1"/>
  <c r="E37" i="1" s="1"/>
  <c r="C5" i="1"/>
  <c r="E26" i="2" l="1"/>
  <c r="F26" i="2" s="1"/>
  <c r="G26" i="2" s="1"/>
  <c r="H26" i="2" s="1"/>
  <c r="I26" i="2" s="1"/>
  <c r="J26" i="2" s="1"/>
  <c r="E28" i="2"/>
  <c r="F28" i="2" s="1"/>
  <c r="G28" i="2" s="1"/>
  <c r="E4" i="2"/>
  <c r="F54" i="2"/>
  <c r="F57" i="2" s="1"/>
  <c r="G59" i="2" s="1"/>
  <c r="F59" i="2"/>
  <c r="F80" i="2" s="1"/>
  <c r="E30" i="2"/>
  <c r="F30" i="2" s="1"/>
  <c r="G30" i="2" s="1"/>
  <c r="E32" i="2"/>
  <c r="F32" i="2" s="1"/>
  <c r="E29" i="2"/>
  <c r="D31" i="2"/>
  <c r="E31" i="2" s="1"/>
  <c r="C12" i="1"/>
  <c r="C18" i="1" s="1"/>
  <c r="C21" i="1" s="1"/>
  <c r="D33" i="1"/>
  <c r="D35" i="1"/>
  <c r="C35" i="1"/>
  <c r="D37" i="1"/>
  <c r="C13" i="2"/>
  <c r="D13" i="2"/>
  <c r="B13" i="2"/>
  <c r="D12" i="1"/>
  <c r="E12" i="1"/>
  <c r="E96" i="2" l="1"/>
  <c r="E98" i="2" s="1"/>
  <c r="G95" i="2"/>
  <c r="G96" i="2" s="1"/>
  <c r="E10" i="2"/>
  <c r="G54" i="2"/>
  <c r="G57" i="2" s="1"/>
  <c r="H59" i="2" s="1"/>
  <c r="F25" i="2"/>
  <c r="F48" i="2"/>
  <c r="F15" i="2"/>
  <c r="F126" i="2" s="1"/>
  <c r="E12" i="2"/>
  <c r="E8" i="2"/>
  <c r="E9" i="2"/>
  <c r="F29" i="2"/>
  <c r="G29" i="2" s="1"/>
  <c r="H29" i="2" s="1"/>
  <c r="I29" i="2" s="1"/>
  <c r="E11" i="2"/>
  <c r="F31" i="2"/>
  <c r="B22" i="2"/>
  <c r="B17" i="2"/>
  <c r="D22" i="2"/>
  <c r="D17" i="2"/>
  <c r="C22" i="2"/>
  <c r="C17" i="2"/>
  <c r="E44" i="2"/>
  <c r="E45" i="2"/>
  <c r="E43" i="2"/>
  <c r="E6" i="2"/>
  <c r="H30" i="2"/>
  <c r="H28" i="2"/>
  <c r="G32" i="2"/>
  <c r="D23" i="1"/>
  <c r="D18" i="1"/>
  <c r="D21" i="1" s="1"/>
  <c r="E23" i="1"/>
  <c r="E18" i="1"/>
  <c r="E21" i="1" s="1"/>
  <c r="G12" i="1"/>
  <c r="C23" i="1"/>
  <c r="G25" i="2" l="1"/>
  <c r="H25" i="2" s="1"/>
  <c r="I25" i="2" s="1"/>
  <c r="J25" i="2" s="1"/>
  <c r="F4" i="2"/>
  <c r="H95" i="2" s="1"/>
  <c r="H96" i="2" s="1"/>
  <c r="H54" i="2"/>
  <c r="H57" i="2" s="1"/>
  <c r="I59" i="2" s="1"/>
  <c r="G31" i="2"/>
  <c r="H31" i="2" s="1"/>
  <c r="E13" i="2"/>
  <c r="E22" i="2" s="1"/>
  <c r="E127" i="2" s="1"/>
  <c r="D42" i="2"/>
  <c r="D49" i="2" s="1"/>
  <c r="D64" i="2" s="1"/>
  <c r="D116" i="2"/>
  <c r="C34" i="2"/>
  <c r="C20" i="2"/>
  <c r="B20" i="2"/>
  <c r="B34" i="2"/>
  <c r="B42" i="2"/>
  <c r="B49" i="2" s="1"/>
  <c r="B64" i="2" s="1"/>
  <c r="B116" i="2"/>
  <c r="C42" i="2"/>
  <c r="C49" i="2" s="1"/>
  <c r="C64" i="2" s="1"/>
  <c r="C116" i="2"/>
  <c r="D20" i="2"/>
  <c r="D34" i="2"/>
  <c r="J29" i="2"/>
  <c r="I28" i="2"/>
  <c r="I30" i="2"/>
  <c r="H32" i="2"/>
  <c r="D25" i="1"/>
  <c r="D24" i="1"/>
  <c r="C24" i="1"/>
  <c r="C25" i="1"/>
  <c r="E24" i="1"/>
  <c r="E25" i="1"/>
  <c r="G23" i="1"/>
  <c r="F9" i="2" l="1"/>
  <c r="F96" i="2"/>
  <c r="F98" i="2" s="1"/>
  <c r="E42" i="2"/>
  <c r="E117" i="2"/>
  <c r="F45" i="2"/>
  <c r="F8" i="2"/>
  <c r="F12" i="2"/>
  <c r="F10" i="2"/>
  <c r="G4" i="2"/>
  <c r="I95" i="2" s="1"/>
  <c r="I96" i="2" s="1"/>
  <c r="F6" i="2"/>
  <c r="F44" i="2"/>
  <c r="F11" i="2"/>
  <c r="F43" i="2"/>
  <c r="I54" i="2"/>
  <c r="I57" i="2" s="1"/>
  <c r="J59" i="2" s="1"/>
  <c r="E17" i="2"/>
  <c r="E116" i="2"/>
  <c r="E34" i="2"/>
  <c r="F34" i="2" s="1"/>
  <c r="G34" i="2" s="1"/>
  <c r="H34" i="2" s="1"/>
  <c r="I34" i="2" s="1"/>
  <c r="J34" i="2" s="1"/>
  <c r="J30" i="2"/>
  <c r="I31" i="2"/>
  <c r="J28" i="2"/>
  <c r="I32" i="2"/>
  <c r="E27" i="1"/>
  <c r="E28" i="1" s="1"/>
  <c r="E26" i="1"/>
  <c r="C27" i="1"/>
  <c r="C28" i="1" s="1"/>
  <c r="C26" i="1"/>
  <c r="D27" i="1"/>
  <c r="D28" i="1" s="1"/>
  <c r="D26" i="1"/>
  <c r="E124" i="2" l="1"/>
  <c r="G12" i="2"/>
  <c r="G98" i="2"/>
  <c r="G43" i="2"/>
  <c r="E118" i="2"/>
  <c r="F13" i="2"/>
  <c r="F22" i="2" s="1"/>
  <c r="H4" i="2"/>
  <c r="J95" i="2" s="1"/>
  <c r="J96" i="2" s="1"/>
  <c r="G9" i="2"/>
  <c r="G11" i="2"/>
  <c r="G8" i="2"/>
  <c r="G10" i="2"/>
  <c r="G6" i="2"/>
  <c r="G45" i="2"/>
  <c r="G44" i="2"/>
  <c r="J54" i="2"/>
  <c r="J65" i="2" s="1"/>
  <c r="E18" i="2"/>
  <c r="J31" i="2"/>
  <c r="J32" i="2"/>
  <c r="H11" i="2" l="1"/>
  <c r="H98" i="2"/>
  <c r="H44" i="2"/>
  <c r="E47" i="2"/>
  <c r="E49" i="2" s="1"/>
  <c r="F42" i="2"/>
  <c r="F127" i="2"/>
  <c r="H43" i="2"/>
  <c r="H45" i="2"/>
  <c r="F17" i="2"/>
  <c r="F18" i="2" s="1"/>
  <c r="F47" i="2" s="1"/>
  <c r="F116" i="2"/>
  <c r="F117" i="2"/>
  <c r="I4" i="2"/>
  <c r="K95" i="2" s="1"/>
  <c r="K96" i="2" s="1"/>
  <c r="K98" i="2" s="1"/>
  <c r="H12" i="2"/>
  <c r="H9" i="2"/>
  <c r="H10" i="2"/>
  <c r="G13" i="2"/>
  <c r="G22" i="2" s="1"/>
  <c r="H8" i="2"/>
  <c r="H6" i="2"/>
  <c r="E20" i="2"/>
  <c r="F124" i="2" l="1"/>
  <c r="I12" i="2"/>
  <c r="I98" i="2"/>
  <c r="E64" i="2"/>
  <c r="E67" i="2" s="1"/>
  <c r="F63" i="2" s="1"/>
  <c r="E119" i="2"/>
  <c r="F49" i="2"/>
  <c r="F119" i="2" s="1"/>
  <c r="G42" i="2"/>
  <c r="F20" i="2"/>
  <c r="I11" i="2"/>
  <c r="I43" i="2"/>
  <c r="H13" i="2"/>
  <c r="H22" i="2" s="1"/>
  <c r="G117" i="2"/>
  <c r="I6" i="2"/>
  <c r="I10" i="2"/>
  <c r="I9" i="2"/>
  <c r="I45" i="2"/>
  <c r="I8" i="2"/>
  <c r="J4" i="2"/>
  <c r="I44" i="2"/>
  <c r="J98" i="2" l="1"/>
  <c r="L95" i="2"/>
  <c r="L96" i="2" s="1"/>
  <c r="L98" i="2" s="1"/>
  <c r="J11" i="2"/>
  <c r="K4" i="2"/>
  <c r="E132" i="2"/>
  <c r="E133" i="2" s="1"/>
  <c r="E130" i="2"/>
  <c r="F64" i="2"/>
  <c r="F67" i="2" s="1"/>
  <c r="I13" i="2"/>
  <c r="I22" i="2" s="1"/>
  <c r="J45" i="2"/>
  <c r="J43" i="2"/>
  <c r="J10" i="2"/>
  <c r="J8" i="2"/>
  <c r="J9" i="2"/>
  <c r="J12" i="2"/>
  <c r="J6" i="2"/>
  <c r="K6" i="2" s="1"/>
  <c r="J44" i="2"/>
  <c r="H42" i="2"/>
  <c r="H117" i="2"/>
  <c r="F70" i="2" l="1"/>
  <c r="F71" i="2" s="1"/>
  <c r="F81" i="2" s="1"/>
  <c r="F118" i="2" s="1"/>
  <c r="F132" i="2"/>
  <c r="F133" i="2" s="1"/>
  <c r="F130" i="2"/>
  <c r="G63" i="2"/>
  <c r="I42" i="2"/>
  <c r="I117" i="2"/>
  <c r="J13" i="2"/>
  <c r="J22" i="2" l="1"/>
  <c r="K22" i="2" s="1"/>
  <c r="K13" i="2"/>
  <c r="F78" i="2"/>
  <c r="G75" i="2"/>
  <c r="G80" i="2" s="1"/>
  <c r="G69" i="2"/>
  <c r="G15" i="2" l="1"/>
  <c r="G126" i="2" s="1"/>
  <c r="G127" i="2" s="1"/>
  <c r="G124" i="2"/>
  <c r="J42" i="2"/>
  <c r="G48" i="2"/>
  <c r="G17" i="2" l="1"/>
  <c r="G18" i="2" s="1"/>
  <c r="G47" i="2" s="1"/>
  <c r="G49" i="2" s="1"/>
  <c r="G116" i="2"/>
  <c r="G20" i="2" l="1"/>
  <c r="G64" i="2"/>
  <c r="G67" i="2" s="1"/>
  <c r="G119" i="2"/>
  <c r="H63" i="2" l="1"/>
  <c r="G130" i="2"/>
  <c r="G70" i="2"/>
  <c r="G132" i="2"/>
  <c r="G133" i="2" s="1"/>
  <c r="G71" i="2" l="1"/>
  <c r="G78" i="2"/>
  <c r="G81" i="2" l="1"/>
  <c r="G118" i="2" s="1"/>
  <c r="H75" i="2"/>
  <c r="H80" i="2" s="1"/>
  <c r="H124" i="2" s="1"/>
  <c r="H69" i="2"/>
  <c r="H48" i="2" l="1"/>
  <c r="H15" i="2"/>
  <c r="H17" i="2" l="1"/>
  <c r="H126" i="2"/>
  <c r="H127" i="2" s="1"/>
  <c r="H116" i="2"/>
  <c r="H18" i="2" l="1"/>
  <c r="H47" i="2" s="1"/>
  <c r="H49" i="2" l="1"/>
  <c r="H64" i="2" s="1"/>
  <c r="H67" i="2" s="1"/>
  <c r="H20" i="2"/>
  <c r="H119" i="2" l="1"/>
  <c r="H70" i="2"/>
  <c r="I63" i="2"/>
  <c r="H132" i="2"/>
  <c r="H133" i="2" s="1"/>
  <c r="H130" i="2"/>
  <c r="H78" i="2" l="1"/>
  <c r="H71" i="2"/>
  <c r="H81" i="2" l="1"/>
  <c r="H118" i="2" s="1"/>
  <c r="I69" i="2"/>
  <c r="I75" i="2"/>
  <c r="I80" i="2" s="1"/>
  <c r="I124" i="2" s="1"/>
  <c r="I15" i="2" l="1"/>
  <c r="I48" i="2"/>
  <c r="I126" i="2" l="1"/>
  <c r="I127" i="2" s="1"/>
  <c r="I17" i="2"/>
  <c r="I116" i="2"/>
  <c r="I18" i="2" l="1"/>
  <c r="I47" i="2" s="1"/>
  <c r="I49" i="2" l="1"/>
  <c r="I119" i="2" s="1"/>
  <c r="I20" i="2"/>
  <c r="I64" i="2" l="1"/>
  <c r="I67" i="2" s="1"/>
  <c r="I70" i="2" s="1"/>
  <c r="I132" i="2" l="1"/>
  <c r="I133" i="2" s="1"/>
  <c r="I130" i="2"/>
  <c r="J63" i="2"/>
  <c r="I78" i="2"/>
  <c r="I71" i="2"/>
  <c r="J75" i="2" l="1"/>
  <c r="J80" i="2" s="1"/>
  <c r="J69" i="2"/>
  <c r="I81" i="2"/>
  <c r="I118" i="2" l="1"/>
  <c r="J15" i="2"/>
  <c r="J48" i="2"/>
  <c r="J116" i="2" l="1"/>
  <c r="J17" i="2"/>
  <c r="J18" i="2" l="1"/>
  <c r="J47" i="2" s="1"/>
  <c r="J49" i="2" l="1"/>
  <c r="J64" i="2" s="1"/>
  <c r="J20" i="2"/>
  <c r="J67" i="2" l="1"/>
  <c r="J70" i="2" s="1"/>
  <c r="J119" i="2"/>
  <c r="J56" i="2" l="1"/>
  <c r="J78" i="2"/>
  <c r="J71" i="2"/>
  <c r="J79" i="2" l="1"/>
  <c r="J57" i="2"/>
  <c r="J117" i="2" s="1"/>
  <c r="J130" i="2" l="1"/>
  <c r="J132" i="2"/>
  <c r="J133" i="2" s="1"/>
  <c r="J124" i="2"/>
  <c r="J81" i="2"/>
  <c r="J118" i="2" s="1"/>
  <c r="N78" i="2"/>
  <c r="J126" i="2"/>
  <c r="J1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Ho</author>
  </authors>
  <commentList>
    <comment ref="E17" authorId="0" shapeId="0" xr:uid="{0127FFE1-7AA6-49C1-ACDE-5D41147FE52E}">
      <text>
        <r>
          <rPr>
            <b/>
            <sz val="9"/>
            <color indexed="81"/>
            <rFont val="Tahoma"/>
            <family val="2"/>
          </rPr>
          <t>Christopher Ho:</t>
        </r>
        <r>
          <rPr>
            <sz val="9"/>
            <color indexed="81"/>
            <rFont val="Tahoma"/>
            <family val="2"/>
          </rPr>
          <t xml:space="preserve">
Assume LTM as of Nov 9 2014</t>
        </r>
      </text>
    </comment>
    <comment ref="AA86" authorId="0" shapeId="0" xr:uid="{A7525F51-06CE-4B36-BE96-0421A520ADFD}">
      <text>
        <r>
          <rPr>
            <b/>
            <sz val="9"/>
            <color indexed="81"/>
            <rFont val="Tahoma"/>
            <family val="2"/>
          </rPr>
          <t>Christopher Ho:</t>
        </r>
        <r>
          <rPr>
            <sz val="9"/>
            <color indexed="81"/>
            <rFont val="Tahoma"/>
            <family val="2"/>
          </rPr>
          <t xml:space="preserve">
Management Forecast
</t>
        </r>
      </text>
    </comment>
    <comment ref="I103" authorId="0" shapeId="0" xr:uid="{A95BB556-BF6F-4CBE-8694-CD0825884E5A}">
      <text>
        <r>
          <rPr>
            <b/>
            <sz val="9"/>
            <color indexed="81"/>
            <rFont val="Tahoma"/>
            <charset val="1"/>
          </rPr>
          <t>Christopher Ho:</t>
        </r>
        <r>
          <rPr>
            <sz val="9"/>
            <color indexed="81"/>
            <rFont val="Tahoma"/>
            <charset val="1"/>
          </rPr>
          <t xml:space="preserve">
for 5 years and beyond</t>
        </r>
      </text>
    </comment>
    <comment ref="B105" authorId="0" shapeId="0" xr:uid="{E42403DB-5F8C-4F77-A197-591945AF03F0}">
      <text>
        <r>
          <rPr>
            <b/>
            <sz val="9"/>
            <color indexed="81"/>
            <rFont val="Tahoma"/>
            <charset val="1"/>
          </rPr>
          <t>Christopher Ho:</t>
        </r>
        <r>
          <rPr>
            <sz val="9"/>
            <color indexed="81"/>
            <rFont val="Tahoma"/>
            <charset val="1"/>
          </rPr>
          <t xml:space="preserve">
Damodaran estimated that the cost of debt for 40 listed co. in Europe within the dining industry is 5.11%. Here, I have added 3% of illiquid &amp; sub-investment grade premium</t>
        </r>
      </text>
    </comment>
    <comment ref="A147" authorId="0" shapeId="0" xr:uid="{7ED3821B-0DE5-45AF-BC35-EDA095FB3F27}">
      <text>
        <r>
          <rPr>
            <b/>
            <sz val="9"/>
            <color indexed="81"/>
            <rFont val="Tahoma"/>
            <family val="2"/>
          </rPr>
          <t>Christopher Ho:</t>
        </r>
        <r>
          <rPr>
            <sz val="9"/>
            <color indexed="81"/>
            <rFont val="Tahoma"/>
            <family val="2"/>
          </rPr>
          <t xml:space="preserve">
See P.126 (146) Bond Memo</t>
        </r>
      </text>
    </comment>
    <comment ref="A166" authorId="0" shapeId="0" xr:uid="{0C007B2A-7561-485F-B0E0-0F7A167FF8E6}">
      <text>
        <r>
          <rPr>
            <b/>
            <sz val="9"/>
            <color indexed="81"/>
            <rFont val="Tahoma"/>
            <family val="2"/>
          </rPr>
          <t>Christopher Ho:</t>
        </r>
        <r>
          <rPr>
            <sz val="9"/>
            <color indexed="81"/>
            <rFont val="Tahoma"/>
            <family val="2"/>
          </rPr>
          <t xml:space="preserve">
See P.126 (146) Bond Memo</t>
        </r>
      </text>
    </comment>
    <comment ref="A169" authorId="0" shapeId="0" xr:uid="{12A7A3A6-9369-4449-862C-CE398A4F6F18}">
      <text>
        <r>
          <rPr>
            <b/>
            <sz val="9"/>
            <color indexed="81"/>
            <rFont val="Tahoma"/>
            <family val="2"/>
          </rPr>
          <t>Christopher Ho:</t>
        </r>
        <r>
          <rPr>
            <sz val="9"/>
            <color indexed="81"/>
            <rFont val="Tahoma"/>
            <family val="2"/>
          </rPr>
          <t xml:space="preserve">
Use weekly average 1 year UK Gilt (25 Jul - 1 Aug 2016)</t>
        </r>
      </text>
    </comment>
    <comment ref="A186" authorId="0" shapeId="0" xr:uid="{CC69A0F7-0EB2-4A39-B8D6-68A512140540}">
      <text>
        <r>
          <rPr>
            <b/>
            <sz val="9"/>
            <color indexed="81"/>
            <rFont val="Tahoma"/>
            <family val="2"/>
          </rPr>
          <t>Christopher Ho:</t>
        </r>
        <r>
          <rPr>
            <sz val="9"/>
            <color indexed="81"/>
            <rFont val="Tahoma"/>
            <family val="2"/>
          </rPr>
          <t xml:space="preserve">
See P.126 (146) Bond Memo</t>
        </r>
      </text>
    </comment>
    <comment ref="A202" authorId="0" shapeId="0" xr:uid="{E17869ED-D97E-4186-BA3A-444B974FC035}">
      <text>
        <r>
          <rPr>
            <b/>
            <sz val="9"/>
            <color indexed="81"/>
            <rFont val="Tahoma"/>
            <family val="2"/>
          </rPr>
          <t>Christopher Ho:</t>
        </r>
        <r>
          <rPr>
            <sz val="9"/>
            <color indexed="81"/>
            <rFont val="Tahoma"/>
            <family val="2"/>
          </rPr>
          <t xml:space="preserve">
See P.126 (146) Bond Memo</t>
        </r>
      </text>
    </comment>
  </commentList>
</comments>
</file>

<file path=xl/sharedStrings.xml><?xml version="1.0" encoding="utf-8"?>
<sst xmlns="http://schemas.openxmlformats.org/spreadsheetml/2006/main" count="245" uniqueCount="153">
  <si>
    <t>29/04/2012</t>
  </si>
  <si>
    <t>28/04/2013</t>
  </si>
  <si>
    <t>27/04/2014</t>
  </si>
  <si>
    <t>Revenue</t>
  </si>
  <si>
    <t>Cost of Sales</t>
  </si>
  <si>
    <t>Exceptional expenses</t>
  </si>
  <si>
    <t>EBIT</t>
  </si>
  <si>
    <t>Gross Profit</t>
  </si>
  <si>
    <t>Net Interest Expenses</t>
  </si>
  <si>
    <t>Tax on Loss</t>
  </si>
  <si>
    <t>Loss for period</t>
  </si>
  <si>
    <t>£ 000s</t>
  </si>
  <si>
    <t>EBITDA</t>
  </si>
  <si>
    <t>Hutton Mezzanine £30m</t>
  </si>
  <si>
    <t>p.108 memo</t>
  </si>
  <si>
    <t>p.31 memo</t>
  </si>
  <si>
    <t>Admin expenses (ex. D&amp;A)</t>
  </si>
  <si>
    <t>Hutton Mezzanine £89.4m Forgiven</t>
  </si>
  <si>
    <t>Goodwill Amortization</t>
  </si>
  <si>
    <t>Depreciation &amp; Impairment on Intangibles</t>
  </si>
  <si>
    <t>Rent Expenses</t>
  </si>
  <si>
    <t>Expenses Breakdown</t>
  </si>
  <si>
    <t>Admin expenses (ex. D&amp;A, Rent)</t>
  </si>
  <si>
    <t>3 yrs CAGR</t>
  </si>
  <si>
    <t>EBITDA by memo</t>
  </si>
  <si>
    <t>margin</t>
  </si>
  <si>
    <t>EBITDAR</t>
  </si>
  <si>
    <t>Balance Sheet</t>
  </si>
  <si>
    <t>Assets</t>
  </si>
  <si>
    <t>Cash</t>
  </si>
  <si>
    <t>Fixed Assets</t>
  </si>
  <si>
    <t>Current Assets</t>
  </si>
  <si>
    <t>Total</t>
  </si>
  <si>
    <t>Net Assets</t>
  </si>
  <si>
    <t>Liabilities</t>
  </si>
  <si>
    <t>Mezzanine Debt Principal</t>
  </si>
  <si>
    <t>Mezzanine Debt Interest for £30m loan</t>
  </si>
  <si>
    <t>Mezzanine Debt Interest for £89.4m loan</t>
  </si>
  <si>
    <t>Total Mezzanine Debt owed</t>
  </si>
  <si>
    <t>Interest Expense</t>
  </si>
  <si>
    <t>Interest Rate</t>
  </si>
  <si>
    <t>Revenue growth</t>
  </si>
  <si>
    <t>Rates &amp; Assumptions</t>
  </si>
  <si>
    <t xml:space="preserve">Rent Expenses </t>
  </si>
  <si>
    <t>Effective Tax Rate</t>
  </si>
  <si>
    <t>Gross Profit Margin</t>
  </si>
  <si>
    <t>Earnings Before Tax</t>
  </si>
  <si>
    <t>Profit/ Loss for period</t>
  </si>
  <si>
    <t>Credit Stat</t>
  </si>
  <si>
    <t>EBITDA/ I</t>
  </si>
  <si>
    <t>Debt/EBITDA</t>
  </si>
  <si>
    <t>Cash Flow Projection</t>
  </si>
  <si>
    <t>Maintenance Capital Expenditure</t>
  </si>
  <si>
    <t>Expansion Capital Expenditure</t>
  </si>
  <si>
    <t>Cash Taxes</t>
  </si>
  <si>
    <t>Cash Interest</t>
  </si>
  <si>
    <t>Other Capital Expenditure</t>
  </si>
  <si>
    <t>Change in Working Capital</t>
  </si>
  <si>
    <t>Debt Schedule</t>
  </si>
  <si>
    <t>Revolver</t>
  </si>
  <si>
    <t>Cash - Opening Balance</t>
  </si>
  <si>
    <t>(+) FCF</t>
  </si>
  <si>
    <t>Free Cash Flow (FCF)</t>
  </si>
  <si>
    <t>Cash Flow Surplus or Shortfall</t>
  </si>
  <si>
    <t>BOP Revolver:</t>
  </si>
  <si>
    <t>Repayment/ (Drawdowns)</t>
  </si>
  <si>
    <t>EOP Revolver:</t>
  </si>
  <si>
    <t>Senior Secured Debt</t>
  </si>
  <si>
    <t>Repayment</t>
  </si>
  <si>
    <t>Additional Borrowing</t>
  </si>
  <si>
    <t>Debt - Opening Balance</t>
  </si>
  <si>
    <t>Debt - Ending Balance</t>
  </si>
  <si>
    <t>Total Interest:</t>
  </si>
  <si>
    <t>Total:</t>
  </si>
  <si>
    <t>(+) New Cash Raised from Offering</t>
  </si>
  <si>
    <t>LIBOR</t>
  </si>
  <si>
    <t>Spread</t>
  </si>
  <si>
    <t>Interest</t>
  </si>
  <si>
    <t>(-) Contractual Debt Repayment</t>
  </si>
  <si>
    <t>Income Statement</t>
  </si>
  <si>
    <t>FCF Conversion</t>
  </si>
  <si>
    <t>Total Debt Outstanding</t>
  </si>
  <si>
    <t>27/04/2015</t>
  </si>
  <si>
    <t>27/04/2016</t>
  </si>
  <si>
    <t>27/04/2018</t>
  </si>
  <si>
    <t>27/04/2019</t>
  </si>
  <si>
    <t>27/04/2020</t>
  </si>
  <si>
    <t>Yield to Maturity</t>
  </si>
  <si>
    <t>Senior Secured Debt Returns Calculation</t>
  </si>
  <si>
    <t xml:space="preserve">Initial Capital Paid </t>
  </si>
  <si>
    <t>Principal Returned</t>
  </si>
  <si>
    <t>Net Cashflow</t>
  </si>
  <si>
    <t>IRR</t>
  </si>
  <si>
    <t>27/04/2017</t>
  </si>
  <si>
    <t>Annualized IRR</t>
  </si>
  <si>
    <t xml:space="preserve">Semi-annual Coupon Received </t>
  </si>
  <si>
    <t>Annualized IRR by XIRR formula</t>
  </si>
  <si>
    <t>Max. Principal Returned before 2017</t>
  </si>
  <si>
    <t>40% of aggregate principal</t>
  </si>
  <si>
    <t>Aggregate Principal</t>
  </si>
  <si>
    <t>Semi-Annual Coupon before redemption</t>
  </si>
  <si>
    <t>Semi-Annual Coupon after redemption</t>
  </si>
  <si>
    <t>Remaining Prinicpal after 2017</t>
  </si>
  <si>
    <t>Yield to 40% Redemption @ Aug 2016</t>
  </si>
  <si>
    <t>Yield to 100% Redemption @ Aug 2016</t>
  </si>
  <si>
    <t>Gilt Rate (@ 1st Aug 2016)</t>
  </si>
  <si>
    <t>Premium Charge over Gilt</t>
  </si>
  <si>
    <t>Compare with 1 % principal</t>
  </si>
  <si>
    <t>Actual Amount</t>
  </si>
  <si>
    <t>Applicable Premium</t>
  </si>
  <si>
    <t>Yield to 100% Redemption @ Aug 2017</t>
  </si>
  <si>
    <t>Premium Charge over principal</t>
  </si>
  <si>
    <t>Premium Charge over Principal</t>
  </si>
  <si>
    <t>Yield to 100% Redemption @ Aug 2018</t>
  </si>
  <si>
    <t>p.292</t>
  </si>
  <si>
    <t>Operating Lease Estimation</t>
  </si>
  <si>
    <t>Commitment per year as disclosed</t>
  </si>
  <si>
    <t>No. of years Embedded</t>
  </si>
  <si>
    <t>Commitment per year as calculated</t>
  </si>
  <si>
    <t>Cost of Debt implied by B Rating</t>
  </si>
  <si>
    <t>PV of Commitment FY 2015</t>
  </si>
  <si>
    <t>PV of Commitment FY 2016</t>
  </si>
  <si>
    <t>PV of Commitment FY 2017</t>
  </si>
  <si>
    <t>PV of Commitment FY 2018</t>
  </si>
  <si>
    <t>PV of Commitment FY 2019</t>
  </si>
  <si>
    <t>(Op Lease + Debt)/ EBITDA</t>
  </si>
  <si>
    <t>PV of Commitment FY 2020</t>
  </si>
  <si>
    <t>Covenant Analysis</t>
  </si>
  <si>
    <t>Required By Covenant</t>
  </si>
  <si>
    <t>Fixed Charge Coverage</t>
  </si>
  <si>
    <t>EBITDA/ (Interest + Debt Repayment)</t>
  </si>
  <si>
    <t>Required EBITDA</t>
  </si>
  <si>
    <t>Debt Drawdown:</t>
  </si>
  <si>
    <t>EBITDA Cushion</t>
  </si>
  <si>
    <t>Net Senior Secured Leverage</t>
  </si>
  <si>
    <t>(Senior Sec Debt  - Cash &amp; Eqv)/ EBITDA</t>
  </si>
  <si>
    <t>CAGR</t>
  </si>
  <si>
    <t>Capex Calculation (Management Plan)</t>
  </si>
  <si>
    <t>Expenditure per restaurant</t>
  </si>
  <si>
    <t>Expected Expansion Capex per year</t>
  </si>
  <si>
    <t>Principal Recovered</t>
  </si>
  <si>
    <t>Revenue/ Market Sizing Analysis</t>
  </si>
  <si>
    <t>Total Revenue of Wagamama</t>
  </si>
  <si>
    <t>UK Revenue of Wagamama</t>
  </si>
  <si>
    <t>Market Share of Wagamama</t>
  </si>
  <si>
    <t>% UK Revenue</t>
  </si>
  <si>
    <t>UK Restaurant Market Size (£ 000s) - p.87 memo</t>
  </si>
  <si>
    <t>UK Branded Restaurants Market Size - p.87 memo</t>
  </si>
  <si>
    <t>% UK Branded Restaurants</t>
  </si>
  <si>
    <t>FY 2014</t>
  </si>
  <si>
    <t>No. of restaurants opened in UK &amp; US</t>
  </si>
  <si>
    <t>No of restaurants added per year</t>
  </si>
  <si>
    <t>EBITDA (ex exceptional exp. &amp; disposal)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</si>
</sst>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d/mm/yyyy;@"/>
    <numFmt numFmtId="165" formatCode="0.0%"/>
    <numFmt numFmtId="166" formatCode="0.000%"/>
    <numFmt numFmtId="167" formatCode="#,##0.0"/>
    <numFmt numFmtId="168" formatCode="_(* #,##0_);_(* \(#,##0\);_(* &quot;-&quot;??_);_(@_)"/>
    <numFmt numFmtId="169" formatCode="\£0\k"/>
    <numFmt numFmtId="170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mediumGray"/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3" fontId="2" fillId="0" borderId="0" xfId="0" applyNumberFormat="1" applyFont="1"/>
    <xf numFmtId="9" fontId="0" fillId="0" borderId="0" xfId="0" applyNumberFormat="1"/>
    <xf numFmtId="0" fontId="0" fillId="0" borderId="0" xfId="0" applyFont="1"/>
    <xf numFmtId="0" fontId="2" fillId="0" borderId="0" xfId="0" applyFont="1" applyAlignment="1">
      <alignment horizontal="left" indent="1"/>
    </xf>
    <xf numFmtId="9" fontId="2" fillId="0" borderId="0" xfId="0" applyNumberFormat="1" applyFont="1"/>
    <xf numFmtId="0" fontId="0" fillId="0" borderId="0" xfId="0" applyFont="1" applyAlignment="1">
      <alignment horizontal="left" indent="1"/>
    </xf>
    <xf numFmtId="9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inden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left" indent="2"/>
    </xf>
    <xf numFmtId="0" fontId="0" fillId="0" borderId="6" xfId="0" applyBorder="1" applyAlignment="1">
      <alignment horizontal="left" indent="1"/>
    </xf>
    <xf numFmtId="0" fontId="0" fillId="0" borderId="1" xfId="0" quotePrefix="1" applyBorder="1" applyAlignment="1">
      <alignment horizontal="left" indent="2"/>
    </xf>
    <xf numFmtId="0" fontId="0" fillId="0" borderId="0" xfId="0" applyFont="1" applyAlignment="1">
      <alignment horizontal="left" indent="2"/>
    </xf>
    <xf numFmtId="0" fontId="5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3" borderId="0" xfId="1" applyNumberFormat="1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9" fontId="0" fillId="0" borderId="9" xfId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8" fontId="0" fillId="0" borderId="0" xfId="2" applyNumberFormat="1" applyFont="1" applyAlignment="1">
      <alignment horizontal="center"/>
    </xf>
    <xf numFmtId="169" fontId="10" fillId="0" borderId="0" xfId="0" applyNumberFormat="1" applyFont="1" applyFill="1" applyAlignment="1">
      <alignment horizontal="center"/>
    </xf>
    <xf numFmtId="9" fontId="0" fillId="3" borderId="0" xfId="0" applyNumberFormat="1" applyFill="1"/>
    <xf numFmtId="168" fontId="0" fillId="0" borderId="0" xfId="0" applyNumberFormat="1"/>
    <xf numFmtId="165" fontId="0" fillId="4" borderId="0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0" xfId="0" applyNumberFormat="1"/>
    <xf numFmtId="14" fontId="0" fillId="0" borderId="9" xfId="0" applyNumberFormat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</xdr:row>
      <xdr:rowOff>123825</xdr:rowOff>
    </xdr:from>
    <xdr:to>
      <xdr:col>14</xdr:col>
      <xdr:colOff>295275</xdr:colOff>
      <xdr:row>18</xdr:row>
      <xdr:rowOff>11257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C78AB-EBD4-4E4E-A0DA-BE1C3620E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304800"/>
          <a:ext cx="4657725" cy="2964007"/>
        </a:xfrm>
        <a:prstGeom prst="rect">
          <a:avLst/>
        </a:prstGeom>
      </xdr:spPr>
    </xdr:pic>
    <xdr:clientData/>
  </xdr:twoCellAnchor>
  <xdr:twoCellAnchor editAs="oneCell">
    <xdr:from>
      <xdr:col>0</xdr:col>
      <xdr:colOff>191413</xdr:colOff>
      <xdr:row>1</xdr:row>
      <xdr:rowOff>9525</xdr:rowOff>
    </xdr:from>
    <xdr:to>
      <xdr:col>7</xdr:col>
      <xdr:colOff>112976</xdr:colOff>
      <xdr:row>23</xdr:row>
      <xdr:rowOff>122609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6FCF28-BD6C-4D4E-8A70-243B600C4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13" y="190500"/>
          <a:ext cx="4455463" cy="4094534"/>
        </a:xfrm>
        <a:prstGeom prst="rect">
          <a:avLst/>
        </a:prstGeom>
      </xdr:spPr>
    </xdr:pic>
    <xdr:clientData/>
  </xdr:twoCellAnchor>
  <xdr:twoCellAnchor editAs="oneCell">
    <xdr:from>
      <xdr:col>0</xdr:col>
      <xdr:colOff>244823</xdr:colOff>
      <xdr:row>28</xdr:row>
      <xdr:rowOff>114300</xdr:rowOff>
    </xdr:from>
    <xdr:to>
      <xdr:col>7</xdr:col>
      <xdr:colOff>361246</xdr:colOff>
      <xdr:row>46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DF89FB-9BD5-46A7-8372-E05F75CC1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823" y="5181600"/>
          <a:ext cx="4650323" cy="3181350"/>
        </a:xfrm>
        <a:prstGeom prst="rect">
          <a:avLst/>
        </a:prstGeom>
      </xdr:spPr>
    </xdr:pic>
    <xdr:clientData/>
  </xdr:twoCellAnchor>
  <xdr:twoCellAnchor editAs="oneCell">
    <xdr:from>
      <xdr:col>7</xdr:col>
      <xdr:colOff>597260</xdr:colOff>
      <xdr:row>28</xdr:row>
      <xdr:rowOff>33338</xdr:rowOff>
    </xdr:from>
    <xdr:to>
      <xdr:col>14</xdr:col>
      <xdr:colOff>460522</xdr:colOff>
      <xdr:row>51</xdr:row>
      <xdr:rowOff>134428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DE76E-F302-4DBF-AC9B-14666BE8D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9495" y="5033963"/>
          <a:ext cx="4405496" cy="4208746"/>
        </a:xfrm>
        <a:prstGeom prst="rect">
          <a:avLst/>
        </a:prstGeom>
      </xdr:spPr>
    </xdr:pic>
    <xdr:clientData/>
  </xdr:twoCellAnchor>
  <xdr:twoCellAnchor editAs="oneCell">
    <xdr:from>
      <xdr:col>0</xdr:col>
      <xdr:colOff>94590</xdr:colOff>
      <xdr:row>53</xdr:row>
      <xdr:rowOff>27121</xdr:rowOff>
    </xdr:from>
    <xdr:to>
      <xdr:col>8</xdr:col>
      <xdr:colOff>494792</xdr:colOff>
      <xdr:row>82</xdr:row>
      <xdr:rowOff>153280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2A5E78-AF8B-4017-81E7-8BC409C7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590" y="9562704"/>
          <a:ext cx="5564869" cy="5343743"/>
        </a:xfrm>
        <a:prstGeom prst="rect">
          <a:avLst/>
        </a:prstGeom>
      </xdr:spPr>
    </xdr:pic>
    <xdr:clientData/>
  </xdr:twoCellAnchor>
  <xdr:twoCellAnchor editAs="oneCell">
    <xdr:from>
      <xdr:col>10</xdr:col>
      <xdr:colOff>628877</xdr:colOff>
      <xdr:row>53</xdr:row>
      <xdr:rowOff>130968</xdr:rowOff>
    </xdr:from>
    <xdr:to>
      <xdr:col>20</xdr:col>
      <xdr:colOff>331662</xdr:colOff>
      <xdr:row>98</xdr:row>
      <xdr:rowOff>115162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51B34B-B521-4CDC-9DC8-B8436B3C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7783" y="9596437"/>
          <a:ext cx="6191692" cy="8020913"/>
        </a:xfrm>
        <a:prstGeom prst="rect">
          <a:avLst/>
        </a:prstGeom>
      </xdr:spPr>
    </xdr:pic>
    <xdr:clientData/>
  </xdr:twoCellAnchor>
  <xdr:twoCellAnchor editAs="oneCell">
    <xdr:from>
      <xdr:col>0</xdr:col>
      <xdr:colOff>74083</xdr:colOff>
      <xdr:row>87</xdr:row>
      <xdr:rowOff>68790</xdr:rowOff>
    </xdr:from>
    <xdr:to>
      <xdr:col>9</xdr:col>
      <xdr:colOff>555130</xdr:colOff>
      <xdr:row>103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8F10C6-498E-4766-B5F4-00BB07E1E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083" y="15721540"/>
          <a:ext cx="6291297" cy="2809877"/>
        </a:xfrm>
        <a:prstGeom prst="rect">
          <a:avLst/>
        </a:prstGeom>
      </xdr:spPr>
    </xdr:pic>
    <xdr:clientData/>
  </xdr:twoCellAnchor>
  <xdr:twoCellAnchor editAs="oneCell">
    <xdr:from>
      <xdr:col>0</xdr:col>
      <xdr:colOff>68931</xdr:colOff>
      <xdr:row>104</xdr:row>
      <xdr:rowOff>75197</xdr:rowOff>
    </xdr:from>
    <xdr:to>
      <xdr:col>9</xdr:col>
      <xdr:colOff>368901</xdr:colOff>
      <xdr:row>150</xdr:row>
      <xdr:rowOff>156017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067DAA-CF9E-4109-9339-AF6F38E50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31" y="18974802"/>
          <a:ext cx="6108967" cy="844026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394787</xdr:colOff>
      <xdr:row>103</xdr:row>
      <xdr:rowOff>175459</xdr:rowOff>
    </xdr:from>
    <xdr:to>
      <xdr:col>20</xdr:col>
      <xdr:colOff>549242</xdr:colOff>
      <xdr:row>160</xdr:row>
      <xdr:rowOff>47323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ACE9494-CEA5-4DB5-90F9-D068F415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49228" y="18893338"/>
          <a:ext cx="6608896" cy="10230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106529</xdr:rowOff>
    </xdr:from>
    <xdr:to>
      <xdr:col>12</xdr:col>
      <xdr:colOff>272337</xdr:colOff>
      <xdr:row>230</xdr:row>
      <xdr:rowOff>53341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37E809-49E1-4ECA-8D8D-EAF60A0E5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9728026"/>
          <a:ext cx="8017666" cy="12122519"/>
        </a:xfrm>
        <a:prstGeom prst="rect">
          <a:avLst/>
        </a:prstGeom>
      </xdr:spPr>
    </xdr:pic>
    <xdr:clientData/>
  </xdr:twoCellAnchor>
  <xdr:twoCellAnchor editAs="oneCell">
    <xdr:from>
      <xdr:col>12</xdr:col>
      <xdr:colOff>620378</xdr:colOff>
      <xdr:row>164</xdr:row>
      <xdr:rowOff>0</xdr:rowOff>
    </xdr:from>
    <xdr:to>
      <xdr:col>24</xdr:col>
      <xdr:colOff>437864</xdr:colOff>
      <xdr:row>226</xdr:row>
      <xdr:rowOff>100263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DBD0FE1-933E-4852-A2B3-363D53A10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707" y="29803224"/>
          <a:ext cx="7562815" cy="11367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39C-4C28-4A08-BE8C-2DC682E43C5D}">
  <dimension ref="A1:AF328"/>
  <sheetViews>
    <sheetView showGridLines="0" tabSelected="1" zoomScale="90" zoomScaleNormal="90" workbookViewId="0"/>
  </sheetViews>
  <sheetFormatPr defaultRowHeight="14.25" x14ac:dyDescent="0.45"/>
  <cols>
    <col min="1" max="1" width="34.19921875" bestFit="1" customWidth="1"/>
    <col min="2" max="3" width="10.19921875" style="31" bestFit="1" customWidth="1"/>
    <col min="4" max="4" width="10.86328125" style="31" bestFit="1" customWidth="1"/>
    <col min="5" max="5" width="10.46484375" style="66" customWidth="1"/>
    <col min="6" max="10" width="10.53125" style="31" bestFit="1" customWidth="1"/>
    <col min="11" max="11" width="9.6640625" bestFit="1" customWidth="1"/>
    <col min="12" max="12" width="9.73046875" bestFit="1" customWidth="1"/>
    <col min="13" max="14" width="9.6640625" bestFit="1" customWidth="1"/>
    <col min="15" max="15" width="9.73046875" bestFit="1" customWidth="1"/>
    <col min="16" max="17" width="9.6640625" bestFit="1" customWidth="1"/>
    <col min="18" max="23" width="9.1328125" bestFit="1" customWidth="1"/>
    <col min="24" max="25" width="9.86328125" bestFit="1" customWidth="1"/>
    <col min="26" max="26" width="9.1328125" bestFit="1" customWidth="1"/>
    <col min="27" max="31" width="9.86328125" bestFit="1" customWidth="1"/>
  </cols>
  <sheetData>
    <row r="1" spans="1:11" x14ac:dyDescent="0.45">
      <c r="B1"/>
      <c r="C1"/>
      <c r="D1" s="19"/>
      <c r="E1" s="17"/>
      <c r="F1"/>
      <c r="G1"/>
      <c r="H1"/>
      <c r="I1"/>
      <c r="J1"/>
    </row>
    <row r="2" spans="1:11" x14ac:dyDescent="0.45">
      <c r="A2" s="25" t="s">
        <v>79</v>
      </c>
      <c r="B2" s="26"/>
      <c r="C2" s="30"/>
      <c r="D2" s="77"/>
      <c r="E2" s="30"/>
    </row>
    <row r="3" spans="1:11" x14ac:dyDescent="0.45">
      <c r="A3" s="5" t="s">
        <v>11</v>
      </c>
      <c r="B3" s="26" t="s">
        <v>0</v>
      </c>
      <c r="C3" s="26" t="s">
        <v>1</v>
      </c>
      <c r="D3" s="27" t="s">
        <v>2</v>
      </c>
      <c r="E3" s="28" t="s">
        <v>82</v>
      </c>
      <c r="F3" s="29" t="s">
        <v>83</v>
      </c>
      <c r="G3" s="29" t="s">
        <v>93</v>
      </c>
      <c r="H3" s="29" t="s">
        <v>84</v>
      </c>
      <c r="I3" s="29" t="s">
        <v>85</v>
      </c>
      <c r="J3" s="29" t="s">
        <v>86</v>
      </c>
      <c r="K3" s="29" t="s">
        <v>136</v>
      </c>
    </row>
    <row r="4" spans="1:11" x14ac:dyDescent="0.45">
      <c r="A4" s="3" t="s">
        <v>3</v>
      </c>
      <c r="B4" s="32">
        <v>129888</v>
      </c>
      <c r="C4" s="32">
        <v>145367</v>
      </c>
      <c r="D4" s="33">
        <v>163995</v>
      </c>
      <c r="E4" s="32">
        <f>D4*(1+E25)</f>
        <v>173834.7</v>
      </c>
      <c r="F4" s="32">
        <f t="shared" ref="F4:J4" si="0">E4*(1+F25)</f>
        <v>184264.78200000004</v>
      </c>
      <c r="G4" s="32">
        <f t="shared" si="0"/>
        <v>195320.66892000005</v>
      </c>
      <c r="H4" s="32">
        <f t="shared" si="0"/>
        <v>207039.90905520006</v>
      </c>
      <c r="I4" s="32">
        <f t="shared" si="0"/>
        <v>219462.30359851208</v>
      </c>
      <c r="J4" s="32">
        <f t="shared" si="0"/>
        <v>232630.04181442282</v>
      </c>
      <c r="K4" s="78">
        <f>(J4/D4)^(1/6)-1</f>
        <v>6.0000000000000053E-2</v>
      </c>
    </row>
    <row r="5" spans="1:11" x14ac:dyDescent="0.45">
      <c r="A5" s="3" t="s">
        <v>4</v>
      </c>
      <c r="B5" s="32">
        <v>-72979</v>
      </c>
      <c r="C5" s="32">
        <v>-83500</v>
      </c>
      <c r="D5" s="33">
        <v>-90621</v>
      </c>
      <c r="E5" s="34"/>
    </row>
    <row r="6" spans="1:11" x14ac:dyDescent="0.45">
      <c r="A6" s="9" t="s">
        <v>7</v>
      </c>
      <c r="B6" s="35">
        <f>SUM(B4:B5)</f>
        <v>56909</v>
      </c>
      <c r="C6" s="35">
        <f t="shared" ref="C6:D6" si="1">SUM(C4:C5)</f>
        <v>61867</v>
      </c>
      <c r="D6" s="36">
        <f t="shared" si="1"/>
        <v>73374</v>
      </c>
      <c r="E6" s="37">
        <f>E4*E26</f>
        <v>75974.274260618709</v>
      </c>
      <c r="F6" s="35">
        <f t="shared" ref="F6:J6" si="2">F4*F26</f>
        <v>80532.730716255843</v>
      </c>
      <c r="G6" s="35">
        <f t="shared" si="2"/>
        <v>85364.694559231197</v>
      </c>
      <c r="H6" s="35">
        <f t="shared" si="2"/>
        <v>90486.576232785068</v>
      </c>
      <c r="I6" s="35">
        <f t="shared" si="2"/>
        <v>95915.770806752174</v>
      </c>
      <c r="J6" s="35">
        <f t="shared" si="2"/>
        <v>101670.71705515732</v>
      </c>
      <c r="K6" s="78">
        <f>(J6/D6)^(1/6)-1</f>
        <v>5.5866348055632065E-2</v>
      </c>
    </row>
    <row r="7" spans="1:11" x14ac:dyDescent="0.45">
      <c r="A7" s="3"/>
      <c r="D7" s="38"/>
      <c r="E7" s="34"/>
      <c r="F7" s="34"/>
      <c r="G7" s="34"/>
      <c r="H7" s="34"/>
      <c r="I7" s="34"/>
      <c r="J7" s="34"/>
    </row>
    <row r="8" spans="1:11" x14ac:dyDescent="0.45">
      <c r="A8" s="3" t="s">
        <v>20</v>
      </c>
      <c r="B8" s="32">
        <v>-10270</v>
      </c>
      <c r="C8" s="32">
        <v>-11192</v>
      </c>
      <c r="D8" s="33">
        <v>-13532</v>
      </c>
      <c r="E8" s="39">
        <f>E$4*E28</f>
        <v>-13824.156435011413</v>
      </c>
      <c r="F8" s="32">
        <f t="shared" ref="F8:J8" si="3">F$4*F28</f>
        <v>-14653.6058211121</v>
      </c>
      <c r="G8" s="32">
        <f t="shared" si="3"/>
        <v>-15532.822170378826</v>
      </c>
      <c r="H8" s="32">
        <f t="shared" si="3"/>
        <v>-16464.791500601557</v>
      </c>
      <c r="I8" s="32">
        <f t="shared" si="3"/>
        <v>-17452.678990637651</v>
      </c>
      <c r="J8" s="32">
        <f t="shared" si="3"/>
        <v>-18499.83973007591</v>
      </c>
    </row>
    <row r="9" spans="1:11" x14ac:dyDescent="0.45">
      <c r="A9" s="3" t="s">
        <v>18</v>
      </c>
      <c r="B9" s="32">
        <v>-9216</v>
      </c>
      <c r="C9" s="32">
        <v>-9119</v>
      </c>
      <c r="D9" s="33">
        <v>-9116</v>
      </c>
      <c r="E9" s="39">
        <f t="shared" ref="E9:J9" si="4">E$4*E29</f>
        <v>-10967.311102206126</v>
      </c>
      <c r="F9" s="32">
        <f t="shared" si="4"/>
        <v>-11625.349768338494</v>
      </c>
      <c r="G9" s="32">
        <f t="shared" si="4"/>
        <v>-12322.870754438805</v>
      </c>
      <c r="H9" s="32">
        <f t="shared" si="4"/>
        <v>-13062.242999705133</v>
      </c>
      <c r="I9" s="32">
        <f t="shared" si="4"/>
        <v>-13845.977579687444</v>
      </c>
      <c r="J9" s="32">
        <f t="shared" si="4"/>
        <v>-14676.73623446869</v>
      </c>
    </row>
    <row r="10" spans="1:11" x14ac:dyDescent="0.45">
      <c r="A10" s="3" t="s">
        <v>19</v>
      </c>
      <c r="B10" s="32">
        <v>-5468</v>
      </c>
      <c r="C10" s="32">
        <v>-6255</v>
      </c>
      <c r="D10" s="33">
        <v>-7663</v>
      </c>
      <c r="E10" s="39">
        <f t="shared" ref="E10:J10" si="5">E$4*E30</f>
        <v>-7640.2590102054401</v>
      </c>
      <c r="F10" s="32">
        <f t="shared" si="5"/>
        <v>-8098.6745508177682</v>
      </c>
      <c r="G10" s="32">
        <f t="shared" si="5"/>
        <v>-8584.5950238668356</v>
      </c>
      <c r="H10" s="32">
        <f t="shared" si="5"/>
        <v>-9099.6707252988454</v>
      </c>
      <c r="I10" s="32">
        <f t="shared" si="5"/>
        <v>-9645.6509688167771</v>
      </c>
      <c r="J10" s="32">
        <f t="shared" si="5"/>
        <v>-10224.390026945783</v>
      </c>
    </row>
    <row r="11" spans="1:11" x14ac:dyDescent="0.45">
      <c r="A11" s="3" t="s">
        <v>22</v>
      </c>
      <c r="B11" s="32">
        <f>-51126-B9-B10-B8</f>
        <v>-26172</v>
      </c>
      <c r="C11" s="32">
        <f>-55515-C9-C10-C8</f>
        <v>-28949</v>
      </c>
      <c r="D11" s="33">
        <f>-67932-D9-D10-D8</f>
        <v>-37621</v>
      </c>
      <c r="E11" s="39">
        <f t="shared" ref="E11:J11" si="6">E$4*E31</f>
        <v>-36507.850740902781</v>
      </c>
      <c r="F11" s="32">
        <f t="shared" si="6"/>
        <v>-38698.321785356951</v>
      </c>
      <c r="G11" s="32">
        <f t="shared" si="6"/>
        <v>-41020.221092478372</v>
      </c>
      <c r="H11" s="32">
        <f t="shared" si="6"/>
        <v>-43481.434358027072</v>
      </c>
      <c r="I11" s="32">
        <f t="shared" si="6"/>
        <v>-46090.320419508702</v>
      </c>
      <c r="J11" s="32">
        <f t="shared" si="6"/>
        <v>-48855.739644679226</v>
      </c>
    </row>
    <row r="12" spans="1:11" x14ac:dyDescent="0.45">
      <c r="A12" s="3" t="s">
        <v>5</v>
      </c>
      <c r="B12" s="31">
        <v>-542</v>
      </c>
      <c r="C12" s="32">
        <v>-2508</v>
      </c>
      <c r="D12" s="38">
        <v>-804</v>
      </c>
      <c r="E12" s="40">
        <f t="shared" ref="E12:J12" si="7">E$4*E32</f>
        <v>-1525.5906175133941</v>
      </c>
      <c r="F12" s="41">
        <f t="shared" si="7"/>
        <v>-1617.1260545641981</v>
      </c>
      <c r="G12" s="41">
        <f t="shared" si="7"/>
        <v>-1714.1536178380502</v>
      </c>
      <c r="H12" s="41">
        <f t="shared" si="7"/>
        <v>-1817.0028349083332</v>
      </c>
      <c r="I12" s="41">
        <f t="shared" si="7"/>
        <v>-1926.0230050028333</v>
      </c>
      <c r="J12" s="41">
        <f t="shared" si="7"/>
        <v>-2041.5843853030033</v>
      </c>
    </row>
    <row r="13" spans="1:11" x14ac:dyDescent="0.45">
      <c r="A13" s="9" t="s">
        <v>6</v>
      </c>
      <c r="B13" s="35">
        <f>B6+SUM(B8:B12)</f>
        <v>5241</v>
      </c>
      <c r="C13" s="35">
        <f>C6+SUM(C8:C12)</f>
        <v>3844</v>
      </c>
      <c r="D13" s="36">
        <f>D6+SUM(D8:D12)</f>
        <v>4638</v>
      </c>
      <c r="E13" s="37">
        <f t="shared" ref="E13:J13" si="8">E6+SUM(E8:E12)</f>
        <v>5509.1063547795493</v>
      </c>
      <c r="F13" s="35">
        <f t="shared" si="8"/>
        <v>5839.6527360663313</v>
      </c>
      <c r="G13" s="35">
        <f t="shared" si="8"/>
        <v>6190.0319002303004</v>
      </c>
      <c r="H13" s="35">
        <f t="shared" si="8"/>
        <v>6561.4338142441266</v>
      </c>
      <c r="I13" s="35">
        <f t="shared" si="8"/>
        <v>6955.119843098757</v>
      </c>
      <c r="J13" s="35">
        <f t="shared" si="8"/>
        <v>7372.4270336846967</v>
      </c>
      <c r="K13" s="78">
        <f>(J13/D13)^(1/6)-1</f>
        <v>8.0305589430403002E-2</v>
      </c>
    </row>
    <row r="14" spans="1:11" x14ac:dyDescent="0.45">
      <c r="A14" s="3"/>
      <c r="D14" s="38"/>
      <c r="E14" s="34"/>
    </row>
    <row r="15" spans="1:11" x14ac:dyDescent="0.45">
      <c r="A15" s="3" t="s">
        <v>8</v>
      </c>
      <c r="B15" s="32">
        <v>-24698</v>
      </c>
      <c r="C15" s="32">
        <v>-25741</v>
      </c>
      <c r="D15" s="33">
        <v>-15588</v>
      </c>
      <c r="E15" s="39">
        <v>-16207</v>
      </c>
      <c r="F15" s="32">
        <f t="shared" ref="F15:J15" si="9">-F80</f>
        <v>-11812.5</v>
      </c>
      <c r="G15" s="32">
        <f t="shared" si="9"/>
        <v>-11812.5</v>
      </c>
      <c r="H15" s="32">
        <f t="shared" si="9"/>
        <v>-11812.5</v>
      </c>
      <c r="I15" s="32">
        <f t="shared" si="9"/>
        <v>-11812.5</v>
      </c>
      <c r="J15" s="32">
        <f t="shared" si="9"/>
        <v>-11812.5</v>
      </c>
    </row>
    <row r="16" spans="1:11" x14ac:dyDescent="0.45">
      <c r="A16" s="15"/>
      <c r="B16" s="32"/>
      <c r="C16" s="32"/>
      <c r="D16" s="33"/>
      <c r="E16" s="34"/>
    </row>
    <row r="17" spans="1:11" x14ac:dyDescent="0.45">
      <c r="A17" s="3" t="s">
        <v>46</v>
      </c>
      <c r="B17" s="32">
        <f>B13+B15</f>
        <v>-19457</v>
      </c>
      <c r="C17" s="32">
        <f t="shared" ref="C17:J17" si="10">C13+C15</f>
        <v>-21897</v>
      </c>
      <c r="D17" s="33">
        <f t="shared" si="10"/>
        <v>-10950</v>
      </c>
      <c r="E17" s="39">
        <f t="shared" si="10"/>
        <v>-10697.893645220451</v>
      </c>
      <c r="F17" s="32">
        <f t="shared" si="10"/>
        <v>-5972.8472639336687</v>
      </c>
      <c r="G17" s="32">
        <f t="shared" si="10"/>
        <v>-5622.4680997696996</v>
      </c>
      <c r="H17" s="32">
        <f t="shared" si="10"/>
        <v>-5251.0661857558734</v>
      </c>
      <c r="I17" s="32">
        <f t="shared" si="10"/>
        <v>-4857.380156901243</v>
      </c>
      <c r="J17" s="32">
        <f t="shared" si="10"/>
        <v>-4440.0729663153033</v>
      </c>
    </row>
    <row r="18" spans="1:11" x14ac:dyDescent="0.45">
      <c r="A18" s="3" t="s">
        <v>9</v>
      </c>
      <c r="B18" s="31">
        <v>-464</v>
      </c>
      <c r="C18" s="31">
        <v>-286</v>
      </c>
      <c r="D18" s="38">
        <v>-752</v>
      </c>
      <c r="E18" s="42">
        <f>E17*E34</f>
        <v>-376.51025406017163</v>
      </c>
      <c r="F18" s="43">
        <f t="shared" ref="F18:J18" si="11">F17*F34</f>
        <v>-210.21317984508013</v>
      </c>
      <c r="G18" s="43">
        <f t="shared" si="11"/>
        <v>-197.88165436055584</v>
      </c>
      <c r="H18" s="43">
        <f t="shared" si="11"/>
        <v>-184.81023734695941</v>
      </c>
      <c r="I18" s="43">
        <f t="shared" si="11"/>
        <v>-170.95453531254807</v>
      </c>
      <c r="J18" s="43">
        <f t="shared" si="11"/>
        <v>-156.26749115607097</v>
      </c>
    </row>
    <row r="19" spans="1:11" x14ac:dyDescent="0.45">
      <c r="A19" s="3"/>
      <c r="D19" s="38"/>
      <c r="E19" s="34"/>
    </row>
    <row r="20" spans="1:11" x14ac:dyDescent="0.45">
      <c r="A20" s="3" t="s">
        <v>47</v>
      </c>
      <c r="B20" s="32">
        <f>B17-B18</f>
        <v>-18993</v>
      </c>
      <c r="C20" s="32">
        <f t="shared" ref="C20:J20" si="12">C17+C18</f>
        <v>-22183</v>
      </c>
      <c r="D20" s="33">
        <f t="shared" si="12"/>
        <v>-11702</v>
      </c>
      <c r="E20" s="39">
        <f t="shared" si="12"/>
        <v>-11074.403899280622</v>
      </c>
      <c r="F20" s="32">
        <f t="shared" si="12"/>
        <v>-6183.0604437787488</v>
      </c>
      <c r="G20" s="32">
        <f t="shared" si="12"/>
        <v>-5820.3497541302559</v>
      </c>
      <c r="H20" s="32">
        <f t="shared" si="12"/>
        <v>-5435.8764231028326</v>
      </c>
      <c r="I20" s="32">
        <f t="shared" si="12"/>
        <v>-5028.3346922137907</v>
      </c>
      <c r="J20" s="32">
        <f t="shared" si="12"/>
        <v>-4596.3404574713741</v>
      </c>
    </row>
    <row r="21" spans="1:11" x14ac:dyDescent="0.45">
      <c r="A21" s="3"/>
      <c r="D21" s="38"/>
      <c r="E21" s="34"/>
    </row>
    <row r="22" spans="1:11" x14ac:dyDescent="0.45">
      <c r="A22" s="9" t="s">
        <v>152</v>
      </c>
      <c r="B22" s="35">
        <f>B13-B9-B10-B12</f>
        <v>20467</v>
      </c>
      <c r="C22" s="35">
        <f t="shared" ref="C22:J22" si="13">C13-C9-C10-C12</f>
        <v>21726</v>
      </c>
      <c r="D22" s="36">
        <f t="shared" si="13"/>
        <v>22221</v>
      </c>
      <c r="E22" s="37">
        <f t="shared" si="13"/>
        <v>25642.267084704508</v>
      </c>
      <c r="F22" s="35">
        <f t="shared" si="13"/>
        <v>27180.803109786793</v>
      </c>
      <c r="G22" s="35">
        <f t="shared" si="13"/>
        <v>28811.651296373988</v>
      </c>
      <c r="H22" s="35">
        <f t="shared" si="13"/>
        <v>30540.350374156438</v>
      </c>
      <c r="I22" s="35">
        <f t="shared" si="13"/>
        <v>32372.771396605815</v>
      </c>
      <c r="J22" s="35">
        <f t="shared" si="13"/>
        <v>34315.137680402171</v>
      </c>
      <c r="K22" s="78">
        <f>(J22/D22)^(1/6)-1</f>
        <v>7.5111954793272595E-2</v>
      </c>
    </row>
    <row r="23" spans="1:11" x14ac:dyDescent="0.45">
      <c r="D23" s="38"/>
      <c r="E23" s="34"/>
    </row>
    <row r="24" spans="1:11" x14ac:dyDescent="0.45">
      <c r="A24" s="25" t="s">
        <v>42</v>
      </c>
      <c r="D24" s="38"/>
      <c r="E24" s="34"/>
    </row>
    <row r="25" spans="1:11" x14ac:dyDescent="0.45">
      <c r="A25" s="3" t="s">
        <v>41</v>
      </c>
      <c r="B25" s="44"/>
      <c r="C25" s="44">
        <f>C4/B4-1</f>
        <v>0.11917190194629224</v>
      </c>
      <c r="D25" s="45">
        <f>D4/C4-1</f>
        <v>0.12814462704740426</v>
      </c>
      <c r="E25" s="89">
        <v>0.06</v>
      </c>
      <c r="F25" s="44">
        <f>E25</f>
        <v>0.06</v>
      </c>
      <c r="G25" s="44">
        <f>F25</f>
        <v>0.06</v>
      </c>
      <c r="H25" s="44">
        <f t="shared" ref="H25" si="14">G25</f>
        <v>0.06</v>
      </c>
      <c r="I25" s="44">
        <f t="shared" ref="I25" si="15">H25</f>
        <v>0.06</v>
      </c>
      <c r="J25" s="44">
        <f t="shared" ref="J25" si="16">I25</f>
        <v>0.06</v>
      </c>
    </row>
    <row r="26" spans="1:11" x14ac:dyDescent="0.45">
      <c r="A26" s="3" t="s">
        <v>45</v>
      </c>
      <c r="B26" s="44">
        <f>B6/B4</f>
        <v>0.43813901207193889</v>
      </c>
      <c r="C26" s="44">
        <f t="shared" ref="C26:D26" si="17">C6/C4</f>
        <v>0.42559177805141468</v>
      </c>
      <c r="D26" s="45">
        <f t="shared" si="17"/>
        <v>0.44741607975852921</v>
      </c>
      <c r="E26" s="46">
        <f>AVERAGE(B26:D26)</f>
        <v>0.43704895662729421</v>
      </c>
      <c r="F26" s="44">
        <f>E26</f>
        <v>0.43704895662729421</v>
      </c>
      <c r="G26" s="44">
        <f t="shared" ref="G26:J26" si="18">F26</f>
        <v>0.43704895662729421</v>
      </c>
      <c r="H26" s="44">
        <f t="shared" si="18"/>
        <v>0.43704895662729421</v>
      </c>
      <c r="I26" s="44">
        <f t="shared" si="18"/>
        <v>0.43704895662729421</v>
      </c>
      <c r="J26" s="44">
        <f t="shared" si="18"/>
        <v>0.43704895662729421</v>
      </c>
    </row>
    <row r="27" spans="1:11" x14ac:dyDescent="0.45">
      <c r="A27" s="3"/>
      <c r="B27" s="44"/>
      <c r="C27" s="44"/>
      <c r="D27" s="45"/>
      <c r="E27" s="46"/>
      <c r="F27" s="44"/>
      <c r="G27" s="44"/>
      <c r="H27" s="44"/>
      <c r="I27" s="44"/>
      <c r="J27" s="44"/>
    </row>
    <row r="28" spans="1:11" x14ac:dyDescent="0.45">
      <c r="A28" s="3" t="s">
        <v>43</v>
      </c>
      <c r="B28" s="44">
        <f>B8/B$4</f>
        <v>-7.906812022665681E-2</v>
      </c>
      <c r="C28" s="44">
        <f>C8/C$4</f>
        <v>-7.6991339162258282E-2</v>
      </c>
      <c r="D28" s="45">
        <f>D8/D$4</f>
        <v>-8.2514710814354103E-2</v>
      </c>
      <c r="E28" s="46">
        <f t="shared" ref="E28:E31" si="19">AVERAGE(B28:D28)</f>
        <v>-7.9524723401089722E-2</v>
      </c>
      <c r="F28" s="44">
        <f>E28</f>
        <v>-7.9524723401089722E-2</v>
      </c>
      <c r="G28" s="44">
        <f t="shared" ref="G28:J28" si="20">F28</f>
        <v>-7.9524723401089722E-2</v>
      </c>
      <c r="H28" s="44">
        <f t="shared" si="20"/>
        <v>-7.9524723401089722E-2</v>
      </c>
      <c r="I28" s="44">
        <f t="shared" si="20"/>
        <v>-7.9524723401089722E-2</v>
      </c>
      <c r="J28" s="44">
        <f t="shared" si="20"/>
        <v>-7.9524723401089722E-2</v>
      </c>
    </row>
    <row r="29" spans="1:11" x14ac:dyDescent="0.45">
      <c r="A29" s="3" t="s">
        <v>18</v>
      </c>
      <c r="B29" s="44">
        <f t="shared" ref="B29" si="21">B9/B$4</f>
        <v>-7.0953436807095344E-2</v>
      </c>
      <c r="C29" s="44">
        <f t="shared" ref="C29:D29" si="22">C9/C$4</f>
        <v>-6.2730881149091616E-2</v>
      </c>
      <c r="D29" s="45">
        <f t="shared" si="22"/>
        <v>-5.5587060581115275E-2</v>
      </c>
      <c r="E29" s="46">
        <f t="shared" si="19"/>
        <v>-6.3090459512434083E-2</v>
      </c>
      <c r="F29" s="44">
        <f t="shared" ref="F29:J38" si="23">E29</f>
        <v>-6.3090459512434083E-2</v>
      </c>
      <c r="G29" s="44">
        <f t="shared" si="23"/>
        <v>-6.3090459512434083E-2</v>
      </c>
      <c r="H29" s="44">
        <f t="shared" si="23"/>
        <v>-6.3090459512434083E-2</v>
      </c>
      <c r="I29" s="44">
        <f t="shared" si="23"/>
        <v>-6.3090459512434083E-2</v>
      </c>
      <c r="J29" s="44">
        <f t="shared" si="23"/>
        <v>-6.3090459512434083E-2</v>
      </c>
    </row>
    <row r="30" spans="1:11" x14ac:dyDescent="0.45">
      <c r="A30" s="3" t="s">
        <v>19</v>
      </c>
      <c r="B30" s="44">
        <f t="shared" ref="B30" si="24">B10/B$4</f>
        <v>-4.209780734170978E-2</v>
      </c>
      <c r="C30" s="44">
        <f t="shared" ref="C30:D30" si="25">C10/C$4</f>
        <v>-4.3029023093274263E-2</v>
      </c>
      <c r="D30" s="45">
        <f t="shared" si="25"/>
        <v>-4.6727034360803686E-2</v>
      </c>
      <c r="E30" s="46">
        <f t="shared" si="19"/>
        <v>-4.3951288265262574E-2</v>
      </c>
      <c r="F30" s="44">
        <f t="shared" si="23"/>
        <v>-4.3951288265262574E-2</v>
      </c>
      <c r="G30" s="44">
        <f t="shared" si="23"/>
        <v>-4.3951288265262574E-2</v>
      </c>
      <c r="H30" s="44">
        <f t="shared" si="23"/>
        <v>-4.3951288265262574E-2</v>
      </c>
      <c r="I30" s="44">
        <f t="shared" si="23"/>
        <v>-4.3951288265262574E-2</v>
      </c>
      <c r="J30" s="44">
        <f t="shared" si="23"/>
        <v>-4.3951288265262574E-2</v>
      </c>
    </row>
    <row r="31" spans="1:11" x14ac:dyDescent="0.45">
      <c r="A31" s="3" t="s">
        <v>22</v>
      </c>
      <c r="B31" s="44">
        <f t="shared" ref="B31" si="26">B11/B$4</f>
        <v>-0.20149667405764968</v>
      </c>
      <c r="C31" s="44">
        <f t="shared" ref="C31:D31" si="27">C11/C$4</f>
        <v>-0.19914423493640235</v>
      </c>
      <c r="D31" s="45">
        <f t="shared" si="27"/>
        <v>-0.22940333546754474</v>
      </c>
      <c r="E31" s="46">
        <f t="shared" si="19"/>
        <v>-0.21001474815386559</v>
      </c>
      <c r="F31" s="44">
        <f t="shared" si="23"/>
        <v>-0.21001474815386559</v>
      </c>
      <c r="G31" s="44">
        <f t="shared" si="23"/>
        <v>-0.21001474815386559</v>
      </c>
      <c r="H31" s="44">
        <f t="shared" si="23"/>
        <v>-0.21001474815386559</v>
      </c>
      <c r="I31" s="44">
        <f t="shared" si="23"/>
        <v>-0.21001474815386559</v>
      </c>
      <c r="J31" s="44">
        <f t="shared" si="23"/>
        <v>-0.21001474815386559</v>
      </c>
    </row>
    <row r="32" spans="1:11" x14ac:dyDescent="0.45">
      <c r="A32" s="3" t="s">
        <v>5</v>
      </c>
      <c r="B32" s="44">
        <f t="shared" ref="B32" si="28">B12/B$4</f>
        <v>-4.1728258191672824E-3</v>
      </c>
      <c r="C32" s="44">
        <f t="shared" ref="C32:D32" si="29">C12/C$4</f>
        <v>-1.7252884079605412E-2</v>
      </c>
      <c r="D32" s="45">
        <f t="shared" si="29"/>
        <v>-4.902588493551633E-3</v>
      </c>
      <c r="E32" s="46">
        <f>AVERAGE(B32:D32)</f>
        <v>-8.7760994641081103E-3</v>
      </c>
      <c r="F32" s="44">
        <f t="shared" si="23"/>
        <v>-8.7760994641081103E-3</v>
      </c>
      <c r="G32" s="44">
        <f t="shared" si="23"/>
        <v>-8.7760994641081103E-3</v>
      </c>
      <c r="H32" s="44">
        <f t="shared" si="23"/>
        <v>-8.7760994641081103E-3</v>
      </c>
      <c r="I32" s="44">
        <f t="shared" si="23"/>
        <v>-8.7760994641081103E-3</v>
      </c>
      <c r="J32" s="44">
        <f t="shared" si="23"/>
        <v>-8.7760994641081103E-3</v>
      </c>
    </row>
    <row r="33" spans="1:13" x14ac:dyDescent="0.45">
      <c r="A33" s="3"/>
      <c r="B33" s="44"/>
      <c r="C33" s="44"/>
      <c r="D33" s="45"/>
      <c r="E33" s="46"/>
      <c r="F33" s="44"/>
      <c r="G33" s="44"/>
      <c r="H33" s="44"/>
      <c r="I33" s="44"/>
      <c r="J33" s="44"/>
    </row>
    <row r="34" spans="1:13" x14ac:dyDescent="0.45">
      <c r="A34" s="3" t="s">
        <v>44</v>
      </c>
      <c r="B34" s="44">
        <f>B18/B17</f>
        <v>2.3847458498226858E-2</v>
      </c>
      <c r="C34" s="44">
        <f t="shared" ref="C34:D34" si="30">C18/C17</f>
        <v>1.3061149929214047E-2</v>
      </c>
      <c r="D34" s="45">
        <f t="shared" si="30"/>
        <v>6.8675799086757985E-2</v>
      </c>
      <c r="E34" s="46">
        <f>AVERAGE(B34:D34)</f>
        <v>3.5194802504732968E-2</v>
      </c>
      <c r="F34" s="44">
        <f t="shared" si="23"/>
        <v>3.5194802504732968E-2</v>
      </c>
      <c r="G34" s="44">
        <f t="shared" si="23"/>
        <v>3.5194802504732968E-2</v>
      </c>
      <c r="H34" s="44">
        <f t="shared" si="23"/>
        <v>3.5194802504732968E-2</v>
      </c>
      <c r="I34" s="44">
        <f t="shared" si="23"/>
        <v>3.5194802504732968E-2</v>
      </c>
      <c r="J34" s="44">
        <f t="shared" si="23"/>
        <v>3.5194802504732968E-2</v>
      </c>
    </row>
    <row r="35" spans="1:13" x14ac:dyDescent="0.45">
      <c r="A35" s="3"/>
      <c r="B35" s="44"/>
      <c r="C35" s="44"/>
      <c r="D35" s="45"/>
      <c r="E35" s="46"/>
      <c r="F35" s="44"/>
      <c r="G35" s="44"/>
      <c r="H35" s="44"/>
      <c r="I35" s="44"/>
      <c r="J35" s="44"/>
    </row>
    <row r="36" spans="1:13" x14ac:dyDescent="0.45">
      <c r="A36" s="3" t="s">
        <v>57</v>
      </c>
      <c r="B36" s="44">
        <f>B43/B$4</f>
        <v>3.917990884454299E-2</v>
      </c>
      <c r="C36" s="44">
        <f t="shared" ref="C36:D36" si="31">C43/C$4</f>
        <v>1.1501922719736941E-2</v>
      </c>
      <c r="D36" s="45">
        <f t="shared" si="31"/>
        <v>2.9696027317906035E-2</v>
      </c>
      <c r="E36" s="46">
        <f>AVERAGE(B36:D36)</f>
        <v>2.679261962739532E-2</v>
      </c>
      <c r="F36" s="46">
        <f t="shared" ref="F36:J36" si="32">AVERAGE(C36:E36)</f>
        <v>2.2663523221679433E-2</v>
      </c>
      <c r="G36" s="46">
        <f t="shared" si="32"/>
        <v>2.6384056722326927E-2</v>
      </c>
      <c r="H36" s="46">
        <f t="shared" si="32"/>
        <v>2.5280066523800559E-2</v>
      </c>
      <c r="I36" s="46">
        <f t="shared" si="32"/>
        <v>2.4775882155935638E-2</v>
      </c>
      <c r="J36" s="46">
        <f t="shared" si="32"/>
        <v>2.5480001800687709E-2</v>
      </c>
    </row>
    <row r="37" spans="1:13" x14ac:dyDescent="0.45">
      <c r="A37" s="3" t="s">
        <v>52</v>
      </c>
      <c r="B37" s="44">
        <f>B44/B$4</f>
        <v>-1.2549273220004927E-2</v>
      </c>
      <c r="C37" s="44">
        <f t="shared" ref="C37:D37" si="33">C44/C$4</f>
        <v>-1.2808959392434321E-2</v>
      </c>
      <c r="D37" s="45">
        <f t="shared" si="33"/>
        <v>-1.9207902679959754E-2</v>
      </c>
      <c r="E37" s="47">
        <f>D37</f>
        <v>-1.9207902679959754E-2</v>
      </c>
      <c r="F37" s="46">
        <f t="shared" si="23"/>
        <v>-1.9207902679959754E-2</v>
      </c>
      <c r="G37" s="46">
        <f t="shared" si="23"/>
        <v>-1.9207902679959754E-2</v>
      </c>
      <c r="H37" s="46">
        <f t="shared" si="23"/>
        <v>-1.9207902679959754E-2</v>
      </c>
      <c r="I37" s="46">
        <f t="shared" si="23"/>
        <v>-1.9207902679959754E-2</v>
      </c>
      <c r="J37" s="46">
        <f t="shared" si="23"/>
        <v>-1.9207902679959754E-2</v>
      </c>
    </row>
    <row r="38" spans="1:13" x14ac:dyDescent="0.45">
      <c r="A38" s="3" t="s">
        <v>56</v>
      </c>
      <c r="B38" s="44">
        <f t="shared" ref="B38:D38" si="34">B45/B$4</f>
        <v>-6.4209164818920918E-3</v>
      </c>
      <c r="C38" s="44">
        <f t="shared" si="34"/>
        <v>-1.3448719448017775E-2</v>
      </c>
      <c r="D38" s="45">
        <f t="shared" si="34"/>
        <v>-9.3295527302661666E-3</v>
      </c>
      <c r="E38" s="47">
        <f>AVERAGE(B38:D38)</f>
        <v>-9.7330628867253449E-3</v>
      </c>
      <c r="F38" s="46">
        <f t="shared" si="23"/>
        <v>-9.7330628867253449E-3</v>
      </c>
      <c r="G38" s="46">
        <f t="shared" si="23"/>
        <v>-9.7330628867253449E-3</v>
      </c>
      <c r="H38" s="46">
        <f t="shared" si="23"/>
        <v>-9.7330628867253449E-3</v>
      </c>
      <c r="I38" s="46">
        <f t="shared" si="23"/>
        <v>-9.7330628867253449E-3</v>
      </c>
      <c r="J38" s="46">
        <f t="shared" si="23"/>
        <v>-9.7330628867253449E-3</v>
      </c>
    </row>
    <row r="39" spans="1:13" x14ac:dyDescent="0.45">
      <c r="A39" s="3" t="s">
        <v>53</v>
      </c>
      <c r="B39" s="44">
        <f t="shared" ref="B39:D39" si="35">B46/B$4</f>
        <v>-5.9705284552845531E-2</v>
      </c>
      <c r="C39" s="44">
        <f t="shared" si="35"/>
        <v>-7.3331636478705622E-2</v>
      </c>
      <c r="D39" s="45">
        <f t="shared" si="35"/>
        <v>-7.7904814171163753E-2</v>
      </c>
      <c r="E39" s="85">
        <f>D39-0.004</f>
        <v>-8.1904814171163756E-2</v>
      </c>
      <c r="F39" s="85">
        <f t="shared" ref="F39:J39" si="36">E39-0.004</f>
        <v>-8.590481417116376E-2</v>
      </c>
      <c r="G39" s="85">
        <f t="shared" si="36"/>
        <v>-8.9904814171163763E-2</v>
      </c>
      <c r="H39" s="85">
        <f t="shared" si="36"/>
        <v>-9.3904814171163767E-2</v>
      </c>
      <c r="I39" s="85">
        <f t="shared" si="36"/>
        <v>-9.790481417116377E-2</v>
      </c>
      <c r="J39" s="85">
        <f t="shared" si="36"/>
        <v>-0.10190481417116377</v>
      </c>
    </row>
    <row r="40" spans="1:13" x14ac:dyDescent="0.45">
      <c r="D40" s="38"/>
      <c r="E40" s="34"/>
    </row>
    <row r="41" spans="1:13" x14ac:dyDescent="0.45">
      <c r="A41" s="25" t="s">
        <v>51</v>
      </c>
      <c r="D41" s="38"/>
      <c r="E41" s="34"/>
      <c r="F41" s="34"/>
      <c r="G41" s="34"/>
      <c r="H41" s="34"/>
      <c r="I41" s="34"/>
      <c r="J41" s="34"/>
    </row>
    <row r="42" spans="1:13" x14ac:dyDescent="0.45">
      <c r="A42" s="9" t="s">
        <v>12</v>
      </c>
      <c r="B42" s="32">
        <f>B22</f>
        <v>20467</v>
      </c>
      <c r="C42" s="32">
        <f t="shared" ref="C42:J42" si="37">C22</f>
        <v>21726</v>
      </c>
      <c r="D42" s="33">
        <f t="shared" si="37"/>
        <v>22221</v>
      </c>
      <c r="E42" s="39">
        <f t="shared" si="37"/>
        <v>25642.267084704508</v>
      </c>
      <c r="F42" s="32">
        <f t="shared" si="37"/>
        <v>27180.803109786793</v>
      </c>
      <c r="G42" s="32">
        <f t="shared" si="37"/>
        <v>28811.651296373988</v>
      </c>
      <c r="H42" s="32">
        <f t="shared" si="37"/>
        <v>30540.350374156438</v>
      </c>
      <c r="I42" s="32">
        <f t="shared" si="37"/>
        <v>32372.771396605815</v>
      </c>
      <c r="J42" s="32">
        <f t="shared" si="37"/>
        <v>34315.137680402171</v>
      </c>
      <c r="K42" s="78"/>
      <c r="L42" s="2"/>
      <c r="M42" s="2"/>
    </row>
    <row r="43" spans="1:13" x14ac:dyDescent="0.45">
      <c r="A43" s="4" t="s">
        <v>57</v>
      </c>
      <c r="B43" s="32">
        <v>5089</v>
      </c>
      <c r="C43" s="32">
        <v>1672</v>
      </c>
      <c r="D43" s="33">
        <v>4870</v>
      </c>
      <c r="E43" s="39">
        <f>E4*E36</f>
        <v>4657.486995142378</v>
      </c>
      <c r="F43" s="32">
        <f t="shared" ref="F43:J43" si="38">F4*F36</f>
        <v>4176.0891657946995</v>
      </c>
      <c r="G43" s="32">
        <f t="shared" si="38"/>
        <v>5153.3516078281191</v>
      </c>
      <c r="H43" s="32">
        <f t="shared" si="38"/>
        <v>5233.9826739970749</v>
      </c>
      <c r="I43" s="32">
        <f t="shared" si="38"/>
        <v>5437.3721716269047</v>
      </c>
      <c r="J43" s="32">
        <f t="shared" si="38"/>
        <v>5927.4138843255505</v>
      </c>
      <c r="L43" s="2"/>
      <c r="M43" s="2"/>
    </row>
    <row r="44" spans="1:13" x14ac:dyDescent="0.45">
      <c r="A44" s="4" t="s">
        <v>52</v>
      </c>
      <c r="B44" s="32">
        <v>-1630</v>
      </c>
      <c r="C44" s="32">
        <v>-1862</v>
      </c>
      <c r="D44" s="33">
        <v>-3150</v>
      </c>
      <c r="E44" s="39">
        <f>E$4*E37</f>
        <v>-3339</v>
      </c>
      <c r="F44" s="32">
        <f t="shared" ref="F44:J44" si="39">F$4*F37</f>
        <v>-3539.3400000000006</v>
      </c>
      <c r="G44" s="32">
        <f t="shared" si="39"/>
        <v>-3751.7004000000011</v>
      </c>
      <c r="H44" s="32">
        <f t="shared" si="39"/>
        <v>-3976.8024240000009</v>
      </c>
      <c r="I44" s="32">
        <f t="shared" si="39"/>
        <v>-4215.4105694400014</v>
      </c>
      <c r="J44" s="32">
        <f t="shared" si="39"/>
        <v>-4468.3352036064016</v>
      </c>
    </row>
    <row r="45" spans="1:13" x14ac:dyDescent="0.45">
      <c r="A45" s="4" t="s">
        <v>56</v>
      </c>
      <c r="B45" s="32">
        <v>-834</v>
      </c>
      <c r="C45" s="32">
        <v>-1955</v>
      </c>
      <c r="D45" s="33">
        <v>-1530</v>
      </c>
      <c r="E45" s="39">
        <f t="shared" ref="E45:J45" si="40">E$4*E38</f>
        <v>-1691.9440669950345</v>
      </c>
      <c r="F45" s="32">
        <f t="shared" si="40"/>
        <v>-1793.4607110147367</v>
      </c>
      <c r="G45" s="32">
        <f t="shared" si="40"/>
        <v>-1901.068353675621</v>
      </c>
      <c r="H45" s="32">
        <f t="shared" si="40"/>
        <v>-2015.1324548961584</v>
      </c>
      <c r="I45" s="32">
        <f t="shared" si="40"/>
        <v>-2136.040402189928</v>
      </c>
      <c r="J45" s="32">
        <f t="shared" si="40"/>
        <v>-2264.2028263213238</v>
      </c>
    </row>
    <row r="46" spans="1:13" x14ac:dyDescent="0.45">
      <c r="A46" s="4" t="s">
        <v>53</v>
      </c>
      <c r="B46" s="32">
        <v>-7755</v>
      </c>
      <c r="C46" s="32">
        <v>-10660</v>
      </c>
      <c r="D46" s="33">
        <v>-12776</v>
      </c>
      <c r="E46" s="39">
        <f>-Z88</f>
        <v>-4050</v>
      </c>
      <c r="F46" s="39">
        <f t="shared" ref="F46:J46" si="41">-AA88</f>
        <v>-10530</v>
      </c>
      <c r="G46" s="39">
        <f t="shared" si="41"/>
        <v>-10530</v>
      </c>
      <c r="H46" s="39">
        <f t="shared" si="41"/>
        <v>-10530</v>
      </c>
      <c r="I46" s="39">
        <f t="shared" si="41"/>
        <v>-10530</v>
      </c>
      <c r="J46" s="39">
        <f t="shared" si="41"/>
        <v>-10530</v>
      </c>
    </row>
    <row r="47" spans="1:13" x14ac:dyDescent="0.45">
      <c r="A47" s="4" t="s">
        <v>54</v>
      </c>
      <c r="B47" s="32">
        <f>B18</f>
        <v>-464</v>
      </c>
      <c r="C47" s="32">
        <f t="shared" ref="C47:J47" si="42">C18</f>
        <v>-286</v>
      </c>
      <c r="D47" s="33">
        <f t="shared" si="42"/>
        <v>-752</v>
      </c>
      <c r="E47" s="39">
        <f t="shared" si="42"/>
        <v>-376.51025406017163</v>
      </c>
      <c r="F47" s="32">
        <f t="shared" si="42"/>
        <v>-210.21317984508013</v>
      </c>
      <c r="G47" s="32">
        <f t="shared" si="42"/>
        <v>-197.88165436055584</v>
      </c>
      <c r="H47" s="32">
        <f t="shared" si="42"/>
        <v>-184.81023734695941</v>
      </c>
      <c r="I47" s="32">
        <f t="shared" si="42"/>
        <v>-170.95453531254807</v>
      </c>
      <c r="J47" s="32">
        <f t="shared" si="42"/>
        <v>-156.26749115607097</v>
      </c>
    </row>
    <row r="48" spans="1:13" x14ac:dyDescent="0.45">
      <c r="A48" s="4" t="s">
        <v>55</v>
      </c>
      <c r="B48" s="32">
        <f>B15</f>
        <v>-24698</v>
      </c>
      <c r="C48" s="32">
        <f t="shared" ref="C48:D48" si="43">C15</f>
        <v>-25741</v>
      </c>
      <c r="D48" s="33">
        <f t="shared" si="43"/>
        <v>-15588</v>
      </c>
      <c r="E48" s="39">
        <f>E15</f>
        <v>-16207</v>
      </c>
      <c r="F48" s="32">
        <f>-F80</f>
        <v>-11812.5</v>
      </c>
      <c r="G48" s="32">
        <f t="shared" ref="G48:J48" si="44">-G80</f>
        <v>-11812.5</v>
      </c>
      <c r="H48" s="32">
        <f t="shared" si="44"/>
        <v>-11812.5</v>
      </c>
      <c r="I48" s="32">
        <f t="shared" si="44"/>
        <v>-11812.5</v>
      </c>
      <c r="J48" s="32">
        <f t="shared" si="44"/>
        <v>-11812.5</v>
      </c>
    </row>
    <row r="49" spans="1:11" x14ac:dyDescent="0.45">
      <c r="A49" s="9" t="s">
        <v>62</v>
      </c>
      <c r="B49" s="35">
        <f>SUM(B42:B48)</f>
        <v>-9825</v>
      </c>
      <c r="C49" s="35">
        <f t="shared" ref="C49:J49" si="45">SUM(C42:C48)</f>
        <v>-17106</v>
      </c>
      <c r="D49" s="36">
        <f t="shared" si="45"/>
        <v>-6705</v>
      </c>
      <c r="E49" s="37">
        <f t="shared" si="45"/>
        <v>4635.2997587916798</v>
      </c>
      <c r="F49" s="35">
        <f t="shared" si="45"/>
        <v>3471.3783847216746</v>
      </c>
      <c r="G49" s="35">
        <f t="shared" si="45"/>
        <v>5771.8524961659241</v>
      </c>
      <c r="H49" s="35">
        <f t="shared" si="45"/>
        <v>7255.0879319103988</v>
      </c>
      <c r="I49" s="35">
        <f t="shared" si="45"/>
        <v>8945.2380612902489</v>
      </c>
      <c r="J49" s="35">
        <f t="shared" si="45"/>
        <v>11011.246043643925</v>
      </c>
      <c r="K49" s="78"/>
    </row>
    <row r="50" spans="1:11" x14ac:dyDescent="0.45">
      <c r="D50" s="38"/>
      <c r="E50" s="34"/>
    </row>
    <row r="51" spans="1:11" x14ac:dyDescent="0.45">
      <c r="A51" s="25" t="s">
        <v>58</v>
      </c>
      <c r="B51" s="32"/>
      <c r="D51" s="38"/>
      <c r="E51" s="34"/>
    </row>
    <row r="52" spans="1:11" x14ac:dyDescent="0.45">
      <c r="A52" s="5" t="s">
        <v>11</v>
      </c>
      <c r="B52" s="26" t="s">
        <v>0</v>
      </c>
      <c r="C52" s="26" t="s">
        <v>1</v>
      </c>
      <c r="D52" s="27" t="s">
        <v>2</v>
      </c>
      <c r="E52" s="28" t="s">
        <v>82</v>
      </c>
      <c r="F52" s="29" t="s">
        <v>83</v>
      </c>
      <c r="G52" s="29" t="s">
        <v>93</v>
      </c>
      <c r="H52" s="29" t="s">
        <v>84</v>
      </c>
      <c r="I52" s="29" t="s">
        <v>85</v>
      </c>
      <c r="J52" s="29" t="s">
        <v>86</v>
      </c>
    </row>
    <row r="53" spans="1:11" x14ac:dyDescent="0.45">
      <c r="A53" s="20" t="s">
        <v>67</v>
      </c>
      <c r="B53" s="48"/>
      <c r="C53" s="49"/>
      <c r="D53" s="50"/>
      <c r="E53" s="49"/>
      <c r="F53" s="49"/>
      <c r="G53" s="49"/>
      <c r="H53" s="49"/>
      <c r="I53" s="49"/>
      <c r="J53" s="51"/>
    </row>
    <row r="54" spans="1:11" x14ac:dyDescent="0.45">
      <c r="A54" s="18" t="s">
        <v>70</v>
      </c>
      <c r="B54" s="39"/>
      <c r="C54" s="39"/>
      <c r="D54" s="33"/>
      <c r="E54" s="39"/>
      <c r="F54" s="39">
        <f>E57</f>
        <v>150000</v>
      </c>
      <c r="G54" s="39">
        <f t="shared" ref="G54:J54" si="46">F57</f>
        <v>150000</v>
      </c>
      <c r="H54" s="39">
        <f t="shared" si="46"/>
        <v>150000</v>
      </c>
      <c r="I54" s="39">
        <f t="shared" si="46"/>
        <v>150000</v>
      </c>
      <c r="J54" s="52">
        <f t="shared" si="46"/>
        <v>150000</v>
      </c>
    </row>
    <row r="55" spans="1:11" x14ac:dyDescent="0.45">
      <c r="A55" s="21" t="s">
        <v>69</v>
      </c>
      <c r="B55" s="39"/>
      <c r="C55" s="39"/>
      <c r="D55" s="33"/>
      <c r="E55" s="39">
        <v>150000</v>
      </c>
      <c r="F55" s="39"/>
      <c r="G55" s="39"/>
      <c r="H55" s="39"/>
      <c r="I55" s="39"/>
      <c r="J55" s="52"/>
    </row>
    <row r="56" spans="1:11" x14ac:dyDescent="0.45">
      <c r="A56" s="21" t="s">
        <v>68</v>
      </c>
      <c r="B56" s="39"/>
      <c r="C56" s="39"/>
      <c r="D56" s="33"/>
      <c r="E56" s="39"/>
      <c r="F56" s="39"/>
      <c r="G56" s="39"/>
      <c r="H56" s="39"/>
      <c r="I56" s="39"/>
      <c r="J56" s="52">
        <f>-MIN(J54,J63+J70+J64)</f>
        <v>-78531.102676523849</v>
      </c>
    </row>
    <row r="57" spans="1:11" x14ac:dyDescent="0.45">
      <c r="A57" s="18" t="s">
        <v>71</v>
      </c>
      <c r="B57" s="39"/>
      <c r="C57" s="39"/>
      <c r="D57" s="33"/>
      <c r="E57" s="39">
        <f>E54+E55-E56</f>
        <v>150000</v>
      </c>
      <c r="F57" s="39">
        <f t="shared" ref="F57:I57" si="47">F54+F55-F56</f>
        <v>150000</v>
      </c>
      <c r="G57" s="39">
        <f t="shared" si="47"/>
        <v>150000</v>
      </c>
      <c r="H57" s="39">
        <f t="shared" si="47"/>
        <v>150000</v>
      </c>
      <c r="I57" s="39">
        <f t="shared" si="47"/>
        <v>150000</v>
      </c>
      <c r="J57" s="52">
        <f>J54+J55+J56</f>
        <v>71468.897323476151</v>
      </c>
    </row>
    <row r="58" spans="1:11" x14ac:dyDescent="0.45">
      <c r="A58" s="18"/>
      <c r="B58" s="39"/>
      <c r="C58" s="39"/>
      <c r="D58" s="33"/>
      <c r="E58" s="39"/>
      <c r="F58" s="39"/>
      <c r="G58" s="39"/>
      <c r="H58" s="39"/>
      <c r="I58" s="39"/>
      <c r="J58" s="52"/>
    </row>
    <row r="59" spans="1:11" x14ac:dyDescent="0.45">
      <c r="A59" s="18" t="s">
        <v>39</v>
      </c>
      <c r="B59" s="39"/>
      <c r="C59" s="39"/>
      <c r="D59" s="33"/>
      <c r="E59" s="39">
        <f>D57*$B$60</f>
        <v>0</v>
      </c>
      <c r="F59" s="39">
        <f t="shared" ref="F59:J59" si="48">E57*$B$60</f>
        <v>11812.5</v>
      </c>
      <c r="G59" s="39">
        <f t="shared" si="48"/>
        <v>11812.5</v>
      </c>
      <c r="H59" s="39">
        <f t="shared" si="48"/>
        <v>11812.5</v>
      </c>
      <c r="I59" s="39">
        <f t="shared" si="48"/>
        <v>11812.5</v>
      </c>
      <c r="J59" s="52">
        <f t="shared" si="48"/>
        <v>11812.5</v>
      </c>
    </row>
    <row r="60" spans="1:11" x14ac:dyDescent="0.45">
      <c r="A60" s="22" t="s">
        <v>40</v>
      </c>
      <c r="B60" s="53">
        <v>7.8750000000000001E-2</v>
      </c>
      <c r="C60" s="54"/>
      <c r="D60" s="55"/>
      <c r="E60" s="54"/>
      <c r="F60" s="54"/>
      <c r="G60" s="54"/>
      <c r="H60" s="54"/>
      <c r="I60" s="54"/>
      <c r="J60" s="56"/>
    </row>
    <row r="61" spans="1:11" x14ac:dyDescent="0.45">
      <c r="D61" s="38"/>
      <c r="E61" s="34"/>
    </row>
    <row r="62" spans="1:11" x14ac:dyDescent="0.45">
      <c r="A62" s="20" t="s">
        <v>59</v>
      </c>
      <c r="B62" s="48"/>
      <c r="C62" s="49"/>
      <c r="D62" s="50"/>
      <c r="E62" s="49"/>
      <c r="F62" s="49"/>
      <c r="G62" s="49"/>
      <c r="H62" s="49"/>
      <c r="I62" s="49"/>
      <c r="J62" s="51"/>
    </row>
    <row r="63" spans="1:11" x14ac:dyDescent="0.45">
      <c r="A63" s="18" t="s">
        <v>60</v>
      </c>
      <c r="B63" s="39"/>
      <c r="C63" s="39">
        <f>B67</f>
        <v>11972</v>
      </c>
      <c r="D63" s="33">
        <f t="shared" ref="D63:J63" si="49">C67</f>
        <v>10268</v>
      </c>
      <c r="E63" s="39">
        <f t="shared" si="49"/>
        <v>12241</v>
      </c>
      <c r="F63" s="39">
        <f t="shared" si="49"/>
        <v>19976.29975879168</v>
      </c>
      <c r="G63" s="39">
        <f t="shared" si="49"/>
        <v>23447.678143513353</v>
      </c>
      <c r="H63" s="39">
        <f t="shared" si="49"/>
        <v>29219.530639679277</v>
      </c>
      <c r="I63" s="39">
        <f t="shared" si="49"/>
        <v>36474.618571589672</v>
      </c>
      <c r="J63" s="52">
        <f t="shared" si="49"/>
        <v>45419.856632879921</v>
      </c>
    </row>
    <row r="64" spans="1:11" x14ac:dyDescent="0.45">
      <c r="A64" s="21" t="s">
        <v>61</v>
      </c>
      <c r="B64" s="39">
        <f t="shared" ref="B64:J64" si="50">B49</f>
        <v>-9825</v>
      </c>
      <c r="C64" s="39">
        <f t="shared" si="50"/>
        <v>-17106</v>
      </c>
      <c r="D64" s="33">
        <f t="shared" si="50"/>
        <v>-6705</v>
      </c>
      <c r="E64" s="39">
        <f t="shared" si="50"/>
        <v>4635.2997587916798</v>
      </c>
      <c r="F64" s="39">
        <f t="shared" si="50"/>
        <v>3471.3783847216746</v>
      </c>
      <c r="G64" s="39">
        <f t="shared" si="50"/>
        <v>5771.8524961659241</v>
      </c>
      <c r="H64" s="39">
        <f t="shared" si="50"/>
        <v>7255.0879319103988</v>
      </c>
      <c r="I64" s="39">
        <f t="shared" si="50"/>
        <v>8945.2380612902489</v>
      </c>
      <c r="J64" s="52">
        <f t="shared" si="50"/>
        <v>11011.246043643925</v>
      </c>
    </row>
    <row r="65" spans="1:14" x14ac:dyDescent="0.45">
      <c r="A65" s="21" t="s">
        <v>78</v>
      </c>
      <c r="B65" s="39"/>
      <c r="C65" s="34"/>
      <c r="D65" s="38"/>
      <c r="E65" s="39">
        <f>E56</f>
        <v>0</v>
      </c>
      <c r="F65" s="39">
        <f t="shared" ref="F65:I65" si="51">F56</f>
        <v>0</v>
      </c>
      <c r="G65" s="39">
        <f t="shared" si="51"/>
        <v>0</v>
      </c>
      <c r="H65" s="39">
        <f t="shared" si="51"/>
        <v>0</v>
      </c>
      <c r="I65" s="39">
        <f t="shared" si="51"/>
        <v>0</v>
      </c>
      <c r="J65" s="52">
        <f>J54</f>
        <v>150000</v>
      </c>
    </row>
    <row r="66" spans="1:14" x14ac:dyDescent="0.45">
      <c r="A66" s="21" t="s">
        <v>74</v>
      </c>
      <c r="B66" s="39"/>
      <c r="C66" s="34"/>
      <c r="D66" s="38"/>
      <c r="E66" s="39">
        <v>3100</v>
      </c>
      <c r="F66" s="39"/>
      <c r="G66" s="39"/>
      <c r="H66" s="39"/>
      <c r="I66" s="39"/>
      <c r="J66" s="52"/>
    </row>
    <row r="67" spans="1:14" x14ac:dyDescent="0.45">
      <c r="A67" s="18" t="s">
        <v>63</v>
      </c>
      <c r="B67" s="39">
        <v>11972</v>
      </c>
      <c r="C67" s="39">
        <v>10268</v>
      </c>
      <c r="D67" s="33">
        <v>12241</v>
      </c>
      <c r="E67" s="39">
        <f>E63+E64-E65+E66</f>
        <v>19976.29975879168</v>
      </c>
      <c r="F67" s="39">
        <f t="shared" ref="F67:I67" si="52">F63+F64-F65+F66</f>
        <v>23447.678143513353</v>
      </c>
      <c r="G67" s="39">
        <f t="shared" si="52"/>
        <v>29219.530639679277</v>
      </c>
      <c r="H67" s="39">
        <f t="shared" si="52"/>
        <v>36474.618571589672</v>
      </c>
      <c r="I67" s="39">
        <f t="shared" si="52"/>
        <v>45419.856632879921</v>
      </c>
      <c r="J67" s="52">
        <f>J63+J64-J65+J66</f>
        <v>-93568.897323476151</v>
      </c>
    </row>
    <row r="68" spans="1:14" x14ac:dyDescent="0.45">
      <c r="A68" s="18"/>
      <c r="B68" s="39"/>
      <c r="C68" s="34"/>
      <c r="D68" s="38"/>
      <c r="E68" s="34"/>
      <c r="F68" s="34"/>
      <c r="G68" s="34"/>
      <c r="H68" s="34"/>
      <c r="I68" s="34"/>
      <c r="J68" s="57"/>
    </row>
    <row r="69" spans="1:14" x14ac:dyDescent="0.45">
      <c r="A69" s="18" t="s">
        <v>64</v>
      </c>
      <c r="B69" s="39"/>
      <c r="C69" s="34"/>
      <c r="D69" s="38"/>
      <c r="E69" s="34"/>
      <c r="F69" s="39">
        <f>E71</f>
        <v>0</v>
      </c>
      <c r="G69" s="39">
        <f>F71</f>
        <v>0</v>
      </c>
      <c r="H69" s="39">
        <f t="shared" ref="H69:J69" si="53">G71</f>
        <v>0</v>
      </c>
      <c r="I69" s="39">
        <f t="shared" si="53"/>
        <v>0</v>
      </c>
      <c r="J69" s="52">
        <f t="shared" si="53"/>
        <v>0</v>
      </c>
    </row>
    <row r="70" spans="1:14" x14ac:dyDescent="0.45">
      <c r="A70" s="23" t="s">
        <v>65</v>
      </c>
      <c r="B70" s="39"/>
      <c r="C70" s="34"/>
      <c r="D70" s="38"/>
      <c r="E70" s="34"/>
      <c r="F70" s="39">
        <f>IF(F67&gt;0,-MIN(F69,F67),-F67)</f>
        <v>0</v>
      </c>
      <c r="G70" s="39">
        <f t="shared" ref="G70:I70" si="54">IF(G67&gt;0,-MIN(G69,G67),-G67)</f>
        <v>0</v>
      </c>
      <c r="H70" s="39">
        <f t="shared" si="54"/>
        <v>0</v>
      </c>
      <c r="I70" s="39">
        <f t="shared" si="54"/>
        <v>0</v>
      </c>
      <c r="J70" s="52">
        <f>MIN(IF(J67&gt;0,-MIN(J69,J67),-J67),22100)</f>
        <v>22100</v>
      </c>
    </row>
    <row r="71" spans="1:14" x14ac:dyDescent="0.45">
      <c r="A71" s="18" t="s">
        <v>66</v>
      </c>
      <c r="B71" s="39"/>
      <c r="C71" s="34"/>
      <c r="D71" s="38"/>
      <c r="E71" s="34"/>
      <c r="F71" s="39">
        <f>SUM(F69:F70)</f>
        <v>0</v>
      </c>
      <c r="G71" s="39">
        <f t="shared" ref="G71:J71" si="55">SUM(G69:G70)</f>
        <v>0</v>
      </c>
      <c r="H71" s="39">
        <f t="shared" si="55"/>
        <v>0</v>
      </c>
      <c r="I71" s="39">
        <f t="shared" si="55"/>
        <v>0</v>
      </c>
      <c r="J71" s="52">
        <f t="shared" si="55"/>
        <v>22100</v>
      </c>
    </row>
    <row r="72" spans="1:14" x14ac:dyDescent="0.45">
      <c r="A72" s="18"/>
      <c r="B72" s="39"/>
      <c r="C72" s="34"/>
      <c r="D72" s="38"/>
      <c r="E72" s="34"/>
      <c r="F72" s="39"/>
      <c r="G72" s="39"/>
      <c r="H72" s="39"/>
      <c r="I72" s="39"/>
      <c r="J72" s="52"/>
    </row>
    <row r="73" spans="1:14" x14ac:dyDescent="0.45">
      <c r="A73" s="18" t="s">
        <v>75</v>
      </c>
      <c r="B73" s="39"/>
      <c r="C73" s="34"/>
      <c r="D73" s="38"/>
      <c r="E73" s="34"/>
      <c r="F73" s="58">
        <v>6.3835000000000003E-3</v>
      </c>
      <c r="G73" s="58">
        <v>1.7177999999999999E-2</v>
      </c>
      <c r="H73" s="58">
        <v>2.3587799999999999E-2</v>
      </c>
      <c r="I73" s="58">
        <v>2.5863799999999999E-2</v>
      </c>
      <c r="J73" s="59">
        <f>I73</f>
        <v>2.5863799999999999E-2</v>
      </c>
    </row>
    <row r="74" spans="1:14" x14ac:dyDescent="0.45">
      <c r="A74" s="18" t="s">
        <v>76</v>
      </c>
      <c r="B74" s="39"/>
      <c r="C74" s="34"/>
      <c r="D74" s="38"/>
      <c r="E74" s="34"/>
      <c r="F74" s="58">
        <v>0.03</v>
      </c>
      <c r="G74" s="58">
        <v>0.03</v>
      </c>
      <c r="H74" s="58">
        <v>0.03</v>
      </c>
      <c r="I74" s="58">
        <v>0.03</v>
      </c>
      <c r="J74" s="59">
        <v>0.03</v>
      </c>
    </row>
    <row r="75" spans="1:14" x14ac:dyDescent="0.45">
      <c r="A75" s="22" t="s">
        <v>77</v>
      </c>
      <c r="B75" s="60"/>
      <c r="C75" s="54"/>
      <c r="D75" s="55"/>
      <c r="E75" s="54"/>
      <c r="F75" s="60">
        <f>E71*(F73+F74)</f>
        <v>0</v>
      </c>
      <c r="G75" s="60">
        <f t="shared" ref="G75:J75" si="56">F71*(G73+G74)</f>
        <v>0</v>
      </c>
      <c r="H75" s="60">
        <f t="shared" si="56"/>
        <v>0</v>
      </c>
      <c r="I75" s="60">
        <f t="shared" si="56"/>
        <v>0</v>
      </c>
      <c r="J75" s="61">
        <f t="shared" si="56"/>
        <v>0</v>
      </c>
    </row>
    <row r="76" spans="1:14" x14ac:dyDescent="0.45">
      <c r="B76" s="32"/>
      <c r="D76" s="38"/>
      <c r="E76" s="34"/>
      <c r="F76" s="32"/>
      <c r="G76" s="32"/>
      <c r="H76" s="32"/>
      <c r="I76" s="32"/>
      <c r="J76" s="32"/>
    </row>
    <row r="77" spans="1:14" x14ac:dyDescent="0.45">
      <c r="A77" s="3" t="s">
        <v>73</v>
      </c>
      <c r="D77" s="38"/>
      <c r="E77" s="34"/>
    </row>
    <row r="78" spans="1:14" x14ac:dyDescent="0.45">
      <c r="A78" s="24" t="s">
        <v>132</v>
      </c>
      <c r="D78" s="38"/>
      <c r="E78" s="39">
        <f>E55</f>
        <v>150000</v>
      </c>
      <c r="F78" s="32">
        <f>F70+F55</f>
        <v>0</v>
      </c>
      <c r="G78" s="32">
        <f>G70+G55</f>
        <v>0</v>
      </c>
      <c r="H78" s="32">
        <f>H70+H55</f>
        <v>0</v>
      </c>
      <c r="I78" s="32">
        <f>I70+I55</f>
        <v>0</v>
      </c>
      <c r="J78" s="32">
        <f>J70+J55</f>
        <v>22100</v>
      </c>
      <c r="L78" t="s">
        <v>140</v>
      </c>
      <c r="N78" s="83">
        <f>J79/E81</f>
        <v>0.523540684510159</v>
      </c>
    </row>
    <row r="79" spans="1:14" x14ac:dyDescent="0.45">
      <c r="A79" s="24" t="s">
        <v>68</v>
      </c>
      <c r="D79" s="38"/>
      <c r="E79" s="39">
        <f t="shared" ref="E79:I79" si="57">-E56</f>
        <v>0</v>
      </c>
      <c r="F79" s="39">
        <f t="shared" si="57"/>
        <v>0</v>
      </c>
      <c r="G79" s="39">
        <f t="shared" si="57"/>
        <v>0</v>
      </c>
      <c r="H79" s="39">
        <f t="shared" si="57"/>
        <v>0</v>
      </c>
      <c r="I79" s="39">
        <f t="shared" si="57"/>
        <v>0</v>
      </c>
      <c r="J79" s="39">
        <f>-J56</f>
        <v>78531.102676523849</v>
      </c>
    </row>
    <row r="80" spans="1:14" x14ac:dyDescent="0.45">
      <c r="A80" s="24" t="s">
        <v>72</v>
      </c>
      <c r="D80" s="38"/>
      <c r="E80" s="39">
        <f>-E48</f>
        <v>16207</v>
      </c>
      <c r="F80" s="32">
        <f>F59+F75</f>
        <v>11812.5</v>
      </c>
      <c r="G80" s="32">
        <f t="shared" ref="G80:J80" si="58">G59+G75</f>
        <v>11812.5</v>
      </c>
      <c r="H80" s="32">
        <f t="shared" si="58"/>
        <v>11812.5</v>
      </c>
      <c r="I80" s="32">
        <f t="shared" si="58"/>
        <v>11812.5</v>
      </c>
      <c r="J80" s="32">
        <f t="shared" si="58"/>
        <v>11812.5</v>
      </c>
    </row>
    <row r="81" spans="1:32" x14ac:dyDescent="0.45">
      <c r="A81" s="4" t="s">
        <v>81</v>
      </c>
      <c r="D81" s="38"/>
      <c r="E81" s="39">
        <f>E57+E71</f>
        <v>150000</v>
      </c>
      <c r="F81" s="39">
        <f t="shared" ref="F81:I81" si="59">F57+F71</f>
        <v>150000</v>
      </c>
      <c r="G81" s="39">
        <f t="shared" si="59"/>
        <v>150000</v>
      </c>
      <c r="H81" s="39">
        <f t="shared" si="59"/>
        <v>150000</v>
      </c>
      <c r="I81" s="39">
        <f t="shared" si="59"/>
        <v>150000</v>
      </c>
      <c r="J81" s="39">
        <f>I81-J79</f>
        <v>71468.897323476151</v>
      </c>
    </row>
    <row r="82" spans="1:32" x14ac:dyDescent="0.45">
      <c r="D82" s="38"/>
      <c r="E82" s="34"/>
    </row>
    <row r="83" spans="1:32" x14ac:dyDescent="0.45">
      <c r="A83" s="25" t="s">
        <v>137</v>
      </c>
      <c r="D83" s="38"/>
      <c r="E83" s="34"/>
    </row>
    <row r="84" spans="1:32" x14ac:dyDescent="0.45">
      <c r="D84" s="27"/>
      <c r="E84" s="28">
        <v>34451</v>
      </c>
      <c r="F84" s="29">
        <f>E84+365</f>
        <v>34816</v>
      </c>
      <c r="G84" s="29">
        <f t="shared" ref="G84:AE84" si="60">F84+365</f>
        <v>35181</v>
      </c>
      <c r="H84" s="29">
        <f t="shared" si="60"/>
        <v>35546</v>
      </c>
      <c r="I84" s="29">
        <f t="shared" si="60"/>
        <v>35911</v>
      </c>
      <c r="J84" s="29">
        <f t="shared" si="60"/>
        <v>36276</v>
      </c>
      <c r="K84" s="29">
        <f t="shared" si="60"/>
        <v>36641</v>
      </c>
      <c r="L84" s="29">
        <f t="shared" si="60"/>
        <v>37006</v>
      </c>
      <c r="M84" s="29">
        <f t="shared" si="60"/>
        <v>37371</v>
      </c>
      <c r="N84" s="29">
        <f t="shared" si="60"/>
        <v>37736</v>
      </c>
      <c r="O84" s="29">
        <f t="shared" si="60"/>
        <v>38101</v>
      </c>
      <c r="P84" s="29">
        <f t="shared" si="60"/>
        <v>38466</v>
      </c>
      <c r="Q84" s="29">
        <f t="shared" si="60"/>
        <v>38831</v>
      </c>
      <c r="R84" s="29">
        <f t="shared" si="60"/>
        <v>39196</v>
      </c>
      <c r="S84" s="29">
        <f t="shared" si="60"/>
        <v>39561</v>
      </c>
      <c r="T84" s="29">
        <f t="shared" si="60"/>
        <v>39926</v>
      </c>
      <c r="U84" s="29">
        <f t="shared" si="60"/>
        <v>40291</v>
      </c>
      <c r="V84" s="29">
        <f t="shared" si="60"/>
        <v>40656</v>
      </c>
      <c r="W84" s="29">
        <f t="shared" si="60"/>
        <v>41021</v>
      </c>
      <c r="X84" s="29">
        <f t="shared" si="60"/>
        <v>41386</v>
      </c>
      <c r="Y84" s="29">
        <f t="shared" si="60"/>
        <v>41751</v>
      </c>
      <c r="Z84" s="29">
        <f t="shared" si="60"/>
        <v>42116</v>
      </c>
      <c r="AA84" s="29">
        <f t="shared" si="60"/>
        <v>42481</v>
      </c>
      <c r="AB84" s="29">
        <f t="shared" si="60"/>
        <v>42846</v>
      </c>
      <c r="AC84" s="29">
        <f t="shared" si="60"/>
        <v>43211</v>
      </c>
      <c r="AD84" s="29">
        <f t="shared" si="60"/>
        <v>43576</v>
      </c>
      <c r="AE84" s="29">
        <f t="shared" si="60"/>
        <v>43941</v>
      </c>
    </row>
    <row r="85" spans="1:32" x14ac:dyDescent="0.45">
      <c r="A85" s="4" t="s">
        <v>150</v>
      </c>
      <c r="D85" s="38"/>
      <c r="E85" s="34">
        <v>1</v>
      </c>
      <c r="F85" s="31">
        <v>1</v>
      </c>
      <c r="G85" s="31">
        <v>1</v>
      </c>
      <c r="H85" s="31">
        <v>2</v>
      </c>
      <c r="I85" s="31">
        <v>2</v>
      </c>
      <c r="J85" s="31">
        <v>4</v>
      </c>
      <c r="K85" s="31">
        <v>5</v>
      </c>
      <c r="L85" s="31">
        <v>10</v>
      </c>
      <c r="M85" s="31">
        <v>13</v>
      </c>
      <c r="N85" s="31">
        <v>18</v>
      </c>
      <c r="O85" s="31">
        <v>24</v>
      </c>
      <c r="P85" s="31">
        <v>31</v>
      </c>
      <c r="Q85" s="31">
        <v>39</v>
      </c>
      <c r="R85" s="31">
        <v>50</v>
      </c>
      <c r="S85" s="31">
        <v>61</v>
      </c>
      <c r="T85" s="31">
        <v>68</v>
      </c>
      <c r="U85" s="31">
        <v>69</v>
      </c>
      <c r="V85" s="31">
        <v>73</v>
      </c>
      <c r="W85" s="31">
        <v>83</v>
      </c>
      <c r="X85" s="31">
        <v>97</v>
      </c>
      <c r="Y85" s="31">
        <v>111</v>
      </c>
      <c r="Z85" s="31">
        <v>116</v>
      </c>
      <c r="AA85" s="31">
        <f>Z85+AA86</f>
        <v>129</v>
      </c>
      <c r="AB85" s="31">
        <f t="shared" ref="AB85:AE85" si="61">AA85+AB86</f>
        <v>142</v>
      </c>
      <c r="AC85" s="31">
        <f t="shared" si="61"/>
        <v>155</v>
      </c>
      <c r="AD85" s="31">
        <f t="shared" si="61"/>
        <v>168</v>
      </c>
      <c r="AE85" s="31">
        <f t="shared" si="61"/>
        <v>181</v>
      </c>
    </row>
    <row r="86" spans="1:32" x14ac:dyDescent="0.45">
      <c r="A86" s="4" t="s">
        <v>151</v>
      </c>
      <c r="D86" s="38"/>
      <c r="E86" s="34"/>
      <c r="F86" s="31">
        <f>F85-E85</f>
        <v>0</v>
      </c>
      <c r="G86" s="31">
        <f t="shared" ref="G86:Z86" si="62">G85-F85</f>
        <v>0</v>
      </c>
      <c r="H86" s="31">
        <f t="shared" si="62"/>
        <v>1</v>
      </c>
      <c r="I86" s="31">
        <f t="shared" si="62"/>
        <v>0</v>
      </c>
      <c r="J86" s="31">
        <f t="shared" si="62"/>
        <v>2</v>
      </c>
      <c r="K86" s="31">
        <f t="shared" si="62"/>
        <v>1</v>
      </c>
      <c r="L86" s="31">
        <f t="shared" si="62"/>
        <v>5</v>
      </c>
      <c r="M86" s="31">
        <f t="shared" si="62"/>
        <v>3</v>
      </c>
      <c r="N86" s="31">
        <f t="shared" si="62"/>
        <v>5</v>
      </c>
      <c r="O86" s="31">
        <f t="shared" si="62"/>
        <v>6</v>
      </c>
      <c r="P86" s="31">
        <f t="shared" si="62"/>
        <v>7</v>
      </c>
      <c r="Q86" s="31">
        <f t="shared" si="62"/>
        <v>8</v>
      </c>
      <c r="R86" s="31">
        <f t="shared" si="62"/>
        <v>11</v>
      </c>
      <c r="S86" s="31">
        <f t="shared" si="62"/>
        <v>11</v>
      </c>
      <c r="T86" s="31">
        <f t="shared" si="62"/>
        <v>7</v>
      </c>
      <c r="U86" s="31">
        <f t="shared" si="62"/>
        <v>1</v>
      </c>
      <c r="V86" s="31">
        <f t="shared" si="62"/>
        <v>4</v>
      </c>
      <c r="W86" s="31">
        <f t="shared" si="62"/>
        <v>10</v>
      </c>
      <c r="X86" s="31">
        <f t="shared" si="62"/>
        <v>14</v>
      </c>
      <c r="Y86" s="31">
        <f t="shared" si="62"/>
        <v>14</v>
      </c>
      <c r="Z86" s="31">
        <f t="shared" si="62"/>
        <v>5</v>
      </c>
      <c r="AA86" s="79">
        <f>ROUND(40/3,0)</f>
        <v>13</v>
      </c>
      <c r="AB86" s="80">
        <f>AA86</f>
        <v>13</v>
      </c>
      <c r="AC86" s="80">
        <f>AB86</f>
        <v>13</v>
      </c>
      <c r="AD86" s="31">
        <f>AC86</f>
        <v>13</v>
      </c>
      <c r="AE86" s="31">
        <f>AD86</f>
        <v>13</v>
      </c>
    </row>
    <row r="87" spans="1:32" x14ac:dyDescent="0.45">
      <c r="A87" s="4" t="s">
        <v>138</v>
      </c>
      <c r="B87" s="82">
        <v>810</v>
      </c>
      <c r="D87" s="38"/>
      <c r="E87" s="34"/>
    </row>
    <row r="88" spans="1:32" x14ac:dyDescent="0.45">
      <c r="A88" s="4" t="s">
        <v>139</v>
      </c>
      <c r="D88" s="38"/>
      <c r="E88" s="34"/>
      <c r="F88" s="81">
        <f>$B$87*F86</f>
        <v>0</v>
      </c>
      <c r="G88" s="81">
        <f t="shared" ref="G88:AE88" si="63">$B$87*G86</f>
        <v>0</v>
      </c>
      <c r="H88" s="81">
        <f t="shared" si="63"/>
        <v>810</v>
      </c>
      <c r="I88" s="81">
        <f t="shared" si="63"/>
        <v>0</v>
      </c>
      <c r="J88" s="81">
        <f t="shared" si="63"/>
        <v>1620</v>
      </c>
      <c r="K88" s="81">
        <f t="shared" si="63"/>
        <v>810</v>
      </c>
      <c r="L88" s="81">
        <f t="shared" si="63"/>
        <v>4050</v>
      </c>
      <c r="M88" s="81">
        <f t="shared" si="63"/>
        <v>2430</v>
      </c>
      <c r="N88" s="81">
        <f t="shared" si="63"/>
        <v>4050</v>
      </c>
      <c r="O88" s="81">
        <f t="shared" si="63"/>
        <v>4860</v>
      </c>
      <c r="P88" s="81">
        <f t="shared" si="63"/>
        <v>5670</v>
      </c>
      <c r="Q88" s="81">
        <f t="shared" si="63"/>
        <v>6480</v>
      </c>
      <c r="R88" s="81">
        <f t="shared" si="63"/>
        <v>8910</v>
      </c>
      <c r="S88" s="81">
        <f t="shared" si="63"/>
        <v>8910</v>
      </c>
      <c r="T88" s="81">
        <f t="shared" si="63"/>
        <v>5670</v>
      </c>
      <c r="U88" s="81">
        <f t="shared" si="63"/>
        <v>810</v>
      </c>
      <c r="V88" s="81">
        <f t="shared" si="63"/>
        <v>3240</v>
      </c>
      <c r="W88" s="81">
        <f t="shared" si="63"/>
        <v>8100</v>
      </c>
      <c r="X88" s="81">
        <f t="shared" si="63"/>
        <v>11340</v>
      </c>
      <c r="Y88" s="81">
        <f t="shared" si="63"/>
        <v>11340</v>
      </c>
      <c r="Z88" s="81">
        <f t="shared" si="63"/>
        <v>4050</v>
      </c>
      <c r="AA88" s="81">
        <f t="shared" si="63"/>
        <v>10530</v>
      </c>
      <c r="AB88" s="81">
        <f t="shared" si="63"/>
        <v>10530</v>
      </c>
      <c r="AC88" s="81">
        <f t="shared" si="63"/>
        <v>10530</v>
      </c>
      <c r="AD88" s="81">
        <f t="shared" si="63"/>
        <v>10530</v>
      </c>
      <c r="AE88" s="81">
        <f t="shared" si="63"/>
        <v>10530</v>
      </c>
    </row>
    <row r="89" spans="1:32" x14ac:dyDescent="0.45">
      <c r="D89" s="38"/>
      <c r="E89" s="34"/>
      <c r="Z89" s="84"/>
      <c r="AA89" s="84"/>
      <c r="AB89" s="84"/>
      <c r="AC89" s="84"/>
      <c r="AD89" s="84"/>
      <c r="AE89" s="84"/>
      <c r="AF89" s="84"/>
    </row>
    <row r="90" spans="1:32" x14ac:dyDescent="0.45">
      <c r="A90" s="25" t="s">
        <v>141</v>
      </c>
      <c r="D90" s="38"/>
      <c r="E90" s="34"/>
    </row>
    <row r="91" spans="1:32" x14ac:dyDescent="0.45">
      <c r="D91" s="88"/>
      <c r="E91" s="28">
        <v>41391</v>
      </c>
      <c r="F91" s="29">
        <f>EOMONTH(E91,12)</f>
        <v>41759</v>
      </c>
      <c r="G91" s="29">
        <f t="shared" ref="G91:Q91" si="64">EOMONTH(F91,12)</f>
        <v>42124</v>
      </c>
      <c r="H91" s="29">
        <f t="shared" si="64"/>
        <v>42490</v>
      </c>
      <c r="I91" s="29">
        <f t="shared" si="64"/>
        <v>42855</v>
      </c>
      <c r="J91" s="29">
        <f t="shared" si="64"/>
        <v>43220</v>
      </c>
      <c r="K91" s="29">
        <f t="shared" si="64"/>
        <v>43585</v>
      </c>
      <c r="L91" s="29">
        <f t="shared" si="64"/>
        <v>43951</v>
      </c>
      <c r="M91" s="29">
        <f t="shared" si="64"/>
        <v>44316</v>
      </c>
      <c r="N91" s="29">
        <f t="shared" si="64"/>
        <v>44681</v>
      </c>
      <c r="O91" s="29">
        <f t="shared" si="64"/>
        <v>45046</v>
      </c>
      <c r="P91" s="29">
        <f t="shared" si="64"/>
        <v>45412</v>
      </c>
      <c r="Q91" s="29">
        <f t="shared" si="64"/>
        <v>45777</v>
      </c>
    </row>
    <row r="92" spans="1:32" x14ac:dyDescent="0.45">
      <c r="A92" s="4" t="s">
        <v>146</v>
      </c>
      <c r="D92" s="38"/>
      <c r="E92" s="39">
        <v>47300000</v>
      </c>
      <c r="F92" s="39">
        <f>E92*(1+0.01)</f>
        <v>47773000</v>
      </c>
      <c r="G92" s="39">
        <f t="shared" ref="G92:Q92" si="65">F92*(1+0.01)</f>
        <v>48250730</v>
      </c>
      <c r="H92" s="39">
        <f t="shared" si="65"/>
        <v>48733237.299999997</v>
      </c>
      <c r="I92" s="39">
        <f t="shared" si="65"/>
        <v>49220569.673</v>
      </c>
      <c r="J92" s="39">
        <f t="shared" si="65"/>
        <v>49712775.369730003</v>
      </c>
      <c r="K92" s="39">
        <f t="shared" si="65"/>
        <v>50209903.123427302</v>
      </c>
      <c r="L92" s="39">
        <f t="shared" si="65"/>
        <v>50712002.154661573</v>
      </c>
      <c r="M92" s="39">
        <f t="shared" si="65"/>
        <v>51219122.176208191</v>
      </c>
      <c r="N92" s="39">
        <f t="shared" si="65"/>
        <v>51731313.397970274</v>
      </c>
      <c r="O92" s="39">
        <f t="shared" si="65"/>
        <v>52248626.531949975</v>
      </c>
      <c r="P92" s="39">
        <f t="shared" si="65"/>
        <v>52771112.797269478</v>
      </c>
      <c r="Q92" s="39">
        <f t="shared" si="65"/>
        <v>53298823.925242171</v>
      </c>
    </row>
    <row r="93" spans="1:32" x14ac:dyDescent="0.45">
      <c r="A93" s="4" t="s">
        <v>147</v>
      </c>
      <c r="D93" s="38"/>
      <c r="E93" s="39">
        <v>4300000</v>
      </c>
      <c r="F93" s="39">
        <f>E93*(1+0.06)</f>
        <v>4558000</v>
      </c>
      <c r="G93" s="39">
        <f t="shared" ref="G93:Q93" si="66">F93*(1+0.06)</f>
        <v>4831480</v>
      </c>
      <c r="H93" s="39">
        <f t="shared" si="66"/>
        <v>5121368.8</v>
      </c>
      <c r="I93" s="39">
        <f t="shared" si="66"/>
        <v>5428650.9280000003</v>
      </c>
      <c r="J93" s="39">
        <f t="shared" si="66"/>
        <v>5754369.9836800005</v>
      </c>
      <c r="K93" s="39">
        <f t="shared" si="66"/>
        <v>6099632.1827008007</v>
      </c>
      <c r="L93" s="39">
        <f t="shared" si="66"/>
        <v>6465610.1136628492</v>
      </c>
      <c r="M93" s="39">
        <f t="shared" si="66"/>
        <v>6853546.7204826204</v>
      </c>
      <c r="N93" s="39">
        <f t="shared" si="66"/>
        <v>7264759.523711578</v>
      </c>
      <c r="O93" s="39">
        <f t="shared" si="66"/>
        <v>7700645.0951342732</v>
      </c>
      <c r="P93" s="39">
        <f t="shared" si="66"/>
        <v>8162683.8008423299</v>
      </c>
      <c r="Q93" s="39">
        <f t="shared" si="66"/>
        <v>8652444.8288928699</v>
      </c>
    </row>
    <row r="94" spans="1:32" x14ac:dyDescent="0.45">
      <c r="A94" s="4" t="s">
        <v>148</v>
      </c>
      <c r="D94" s="38" t="s">
        <v>149</v>
      </c>
      <c r="E94" s="46">
        <f>E93/E92</f>
        <v>9.0909090909090912E-2</v>
      </c>
      <c r="F94" s="46">
        <f t="shared" ref="F94:Q94" si="67">F93/F92</f>
        <v>9.5409540954095415E-2</v>
      </c>
      <c r="G94" s="46">
        <f t="shared" si="67"/>
        <v>0.1001327855557833</v>
      </c>
      <c r="H94" s="46">
        <f t="shared" si="67"/>
        <v>0.10508985414765376</v>
      </c>
      <c r="I94" s="46">
        <f t="shared" si="67"/>
        <v>0.11029232217476534</v>
      </c>
      <c r="J94" s="46">
        <f t="shared" si="67"/>
        <v>0.11575233812401114</v>
      </c>
      <c r="K94" s="46">
        <f t="shared" si="67"/>
        <v>0.12148265189252655</v>
      </c>
      <c r="L94" s="46">
        <f t="shared" si="67"/>
        <v>0.12749664456047344</v>
      </c>
      <c r="M94" s="46">
        <f t="shared" si="67"/>
        <v>0.13380835963772458</v>
      </c>
      <c r="N94" s="46">
        <f t="shared" si="67"/>
        <v>0.14043253585741391</v>
      </c>
      <c r="O94" s="46">
        <f t="shared" si="67"/>
        <v>0.14738464159292949</v>
      </c>
      <c r="P94" s="46">
        <f t="shared" si="67"/>
        <v>0.15468091097871806</v>
      </c>
      <c r="Q94" s="46">
        <f t="shared" si="67"/>
        <v>0.16233838181924867</v>
      </c>
    </row>
    <row r="95" spans="1:32" x14ac:dyDescent="0.45">
      <c r="A95" s="4" t="s">
        <v>142</v>
      </c>
      <c r="D95" s="33">
        <f>D4</f>
        <v>163995</v>
      </c>
      <c r="E95" s="39">
        <f>C4</f>
        <v>145367</v>
      </c>
      <c r="F95" s="39">
        <f t="shared" ref="F95:L95" si="68">D4</f>
        <v>163995</v>
      </c>
      <c r="G95" s="39">
        <f t="shared" si="68"/>
        <v>173834.7</v>
      </c>
      <c r="H95" s="39">
        <f t="shared" si="68"/>
        <v>184264.78200000004</v>
      </c>
      <c r="I95" s="39">
        <f t="shared" si="68"/>
        <v>195320.66892000005</v>
      </c>
      <c r="J95" s="39">
        <f t="shared" si="68"/>
        <v>207039.90905520006</v>
      </c>
      <c r="K95" s="39">
        <f t="shared" si="68"/>
        <v>219462.30359851208</v>
      </c>
      <c r="L95" s="39">
        <f t="shared" si="68"/>
        <v>232630.04181442282</v>
      </c>
    </row>
    <row r="96" spans="1:32" x14ac:dyDescent="0.45">
      <c r="A96" s="4" t="s">
        <v>143</v>
      </c>
      <c r="D96" s="33">
        <v>157000</v>
      </c>
      <c r="E96" s="39">
        <f>E95*$D$97</f>
        <v>139166.55385834933</v>
      </c>
      <c r="F96" s="39">
        <f t="shared" ref="F96" si="69">F95*$D$97</f>
        <v>157000</v>
      </c>
      <c r="G96" s="39">
        <f t="shared" ref="G96" si="70">G95*$D$97</f>
        <v>166420.00000000003</v>
      </c>
      <c r="H96" s="39">
        <f t="shared" ref="H96" si="71">H95*$D$97</f>
        <v>176405.20000000004</v>
      </c>
      <c r="I96" s="39">
        <f t="shared" ref="I96" si="72">I95*$D$97</f>
        <v>186989.51200000008</v>
      </c>
      <c r="J96" s="39">
        <f t="shared" ref="J96" si="73">J95*$D$97</f>
        <v>198208.88272000005</v>
      </c>
      <c r="K96" s="39">
        <f t="shared" ref="K96" si="74">K95*$D$97</f>
        <v>210101.41568320009</v>
      </c>
      <c r="L96" s="39">
        <f t="shared" ref="L96" si="75">L95*$D$97</f>
        <v>222707.50062419209</v>
      </c>
    </row>
    <row r="97" spans="1:12" x14ac:dyDescent="0.45">
      <c r="A97" s="4" t="s">
        <v>145</v>
      </c>
      <c r="D97" s="45">
        <f>D96/D95</f>
        <v>0.95734626055672434</v>
      </c>
      <c r="E97" s="34"/>
    </row>
    <row r="98" spans="1:12" x14ac:dyDescent="0.45">
      <c r="A98" s="4" t="s">
        <v>144</v>
      </c>
      <c r="D98" s="45"/>
      <c r="E98" s="46">
        <f>E96/E93</f>
        <v>3.2364314850778918E-2</v>
      </c>
      <c r="F98" s="46">
        <f t="shared" ref="F98:L98" si="76">F96/F93</f>
        <v>3.4444931987713909E-2</v>
      </c>
      <c r="G98" s="46">
        <f t="shared" si="76"/>
        <v>3.4444931987713916E-2</v>
      </c>
      <c r="H98" s="46">
        <f t="shared" si="76"/>
        <v>3.4444931987713916E-2</v>
      </c>
      <c r="I98" s="46">
        <f t="shared" si="76"/>
        <v>3.4444931987713923E-2</v>
      </c>
      <c r="J98" s="46">
        <f t="shared" si="76"/>
        <v>3.4444931987713916E-2</v>
      </c>
      <c r="K98" s="46">
        <f t="shared" si="76"/>
        <v>3.4444931987713923E-2</v>
      </c>
      <c r="L98" s="46">
        <f t="shared" si="76"/>
        <v>3.4444931987713916E-2</v>
      </c>
    </row>
    <row r="99" spans="1:12" x14ac:dyDescent="0.45">
      <c r="D99" s="38"/>
      <c r="E99" s="34"/>
    </row>
    <row r="100" spans="1:12" x14ac:dyDescent="0.45">
      <c r="A100" s="25" t="s">
        <v>115</v>
      </c>
      <c r="D100" s="38"/>
      <c r="E100" s="34"/>
    </row>
    <row r="101" spans="1:12" x14ac:dyDescent="0.45">
      <c r="A101" s="5" t="s">
        <v>11</v>
      </c>
      <c r="B101" s="26"/>
      <c r="C101" s="26"/>
      <c r="D101" s="88">
        <v>41756</v>
      </c>
      <c r="E101" s="28">
        <v>42121</v>
      </c>
      <c r="F101" s="29">
        <f>EOMONTH(E101,12)</f>
        <v>42490</v>
      </c>
      <c r="G101" s="29">
        <f t="shared" ref="G101:J101" si="77">EOMONTH(F101,12)</f>
        <v>42855</v>
      </c>
      <c r="H101" s="29">
        <f t="shared" si="77"/>
        <v>43220</v>
      </c>
      <c r="I101" s="29">
        <f t="shared" si="77"/>
        <v>43585</v>
      </c>
      <c r="J101" s="29">
        <f t="shared" si="77"/>
        <v>43951</v>
      </c>
    </row>
    <row r="102" spans="1:12" x14ac:dyDescent="0.45">
      <c r="D102" s="38"/>
      <c r="E102" s="34"/>
    </row>
    <row r="103" spans="1:12" x14ac:dyDescent="0.45">
      <c r="A103" s="3" t="s">
        <v>116</v>
      </c>
      <c r="D103" s="38">
        <v>13532</v>
      </c>
      <c r="E103" s="34">
        <v>1167</v>
      </c>
      <c r="F103" s="31">
        <v>602</v>
      </c>
      <c r="G103" s="31">
        <f>1160/2</f>
        <v>580</v>
      </c>
      <c r="H103" s="31">
        <f>1160/2</f>
        <v>580</v>
      </c>
      <c r="I103" s="31">
        <v>12121</v>
      </c>
    </row>
    <row r="104" spans="1:12" x14ac:dyDescent="0.45">
      <c r="A104" s="3" t="s">
        <v>117</v>
      </c>
      <c r="B104" s="31">
        <f>ROUND(I103/AVERAGE(E103:H103),0)</f>
        <v>17</v>
      </c>
      <c r="D104" s="38"/>
      <c r="E104" s="34"/>
    </row>
    <row r="105" spans="1:12" x14ac:dyDescent="0.45">
      <c r="A105" s="3" t="s">
        <v>119</v>
      </c>
      <c r="B105" s="68">
        <v>0.08</v>
      </c>
      <c r="D105" s="38"/>
      <c r="E105" s="34"/>
    </row>
    <row r="106" spans="1:12" x14ac:dyDescent="0.45">
      <c r="A106" s="3" t="s">
        <v>118</v>
      </c>
      <c r="D106" s="38">
        <f>D103</f>
        <v>13532</v>
      </c>
      <c r="E106" s="34">
        <f>E103</f>
        <v>1167</v>
      </c>
      <c r="F106" s="31">
        <f>F103</f>
        <v>602</v>
      </c>
      <c r="G106" s="31">
        <f t="shared" ref="G106:H106" si="78">G103</f>
        <v>580</v>
      </c>
      <c r="H106" s="31">
        <f t="shared" si="78"/>
        <v>580</v>
      </c>
      <c r="I106" s="31">
        <f>I103/B104</f>
        <v>713</v>
      </c>
    </row>
    <row r="107" spans="1:12" x14ac:dyDescent="0.45">
      <c r="A107" s="3" t="s">
        <v>120</v>
      </c>
      <c r="B107" s="76">
        <f>SUM(E107:I107)</f>
        <v>7263.8477523868032</v>
      </c>
      <c r="D107" s="38"/>
      <c r="E107" s="74">
        <f>E106/(1+$B$105)^(COLUMNS($E$101:E$101))</f>
        <v>1080.5555555555554</v>
      </c>
      <c r="F107" s="74">
        <f>F106/(1+$B$105)^(COLUMNS($E$101:F$101))</f>
        <v>516.11796982167346</v>
      </c>
      <c r="G107" s="74">
        <f>G106/(1+$B$105)^(COLUMNS($E$101:G$101))</f>
        <v>460.42269979169834</v>
      </c>
      <c r="H107" s="74">
        <f>H106/(1+$B$105)^(COLUMNS($E$101:H$101))</f>
        <v>426.3173146219429</v>
      </c>
      <c r="I107" s="62">
        <f>($I$106*(1-(1+$B$105)^(-$B$104))/$B$105)/(1+$B$105)^COLUMNS(E101:H101)</f>
        <v>4780.4342125959329</v>
      </c>
    </row>
    <row r="108" spans="1:12" x14ac:dyDescent="0.45">
      <c r="A108" s="3" t="s">
        <v>121</v>
      </c>
      <c r="B108" s="76">
        <f t="shared" ref="B108:B112" si="79">SUM(E108:I108)</f>
        <v>6373.9186422293642</v>
      </c>
      <c r="D108" s="38"/>
      <c r="E108" s="74"/>
      <c r="F108" s="74">
        <f>F107/(1+$B$105)^(COLUMNS($F$101:F$101))</f>
        <v>477.88700909414206</v>
      </c>
      <c r="G108" s="74">
        <f>G107/(1+$B$105)^(COLUMNS($F$101:G$101))</f>
        <v>394.73825427957672</v>
      </c>
      <c r="H108" s="74">
        <f>H107/(1+$B$105)^(COLUMNS($F$101:H$101))</f>
        <v>338.42442925203767</v>
      </c>
      <c r="I108" s="62">
        <f>($I$106*(1-(1+$B$105)^(-$B$104))/$B$105)/(1+$B$105)^COLUMNS(F$101:H$101)</f>
        <v>5162.8689496036077</v>
      </c>
    </row>
    <row r="109" spans="1:12" x14ac:dyDescent="0.45">
      <c r="A109" s="3" t="s">
        <v>122</v>
      </c>
      <c r="B109" s="76">
        <f t="shared" si="79"/>
        <v>6231.5412501003439</v>
      </c>
      <c r="D109" s="38"/>
      <c r="E109" s="74"/>
      <c r="F109" s="74"/>
      <c r="G109" s="74">
        <f>G108/(1+$B$105)^(COLUMNS($G$101:G$101))</f>
        <v>365.49838359220064</v>
      </c>
      <c r="H109" s="74">
        <f>H108/(1+$B$105)^(COLUMNS($G$101:H$101))</f>
        <v>290.14440093624626</v>
      </c>
      <c r="I109" s="62">
        <f>($I$106*(1-(1+$B$105)^(-$B$104))/$B$105)/(1+$B$105)^COLUMNS(G$101:H$101)</f>
        <v>5575.8984655718968</v>
      </c>
    </row>
    <row r="110" spans="1:12" x14ac:dyDescent="0.45">
      <c r="A110" s="3" t="s">
        <v>123</v>
      </c>
      <c r="B110" s="76">
        <f t="shared" si="79"/>
        <v>6290.622565906765</v>
      </c>
      <c r="D110" s="38"/>
      <c r="E110" s="74"/>
      <c r="F110" s="74"/>
      <c r="G110" s="74"/>
      <c r="H110" s="74">
        <f>H109/(1+$B$105)^(COLUMNS($H$101:H$101))</f>
        <v>268.65222308911689</v>
      </c>
      <c r="I110" s="62">
        <f>($I$106*(1-(1+$B$105)^(-$B$104))/$B$105)/(1+$B$105)^COLUMNS(H$101:H$101)</f>
        <v>6021.9703428176481</v>
      </c>
    </row>
    <row r="111" spans="1:12" x14ac:dyDescent="0.45">
      <c r="A111" s="3" t="s">
        <v>124</v>
      </c>
      <c r="B111" s="76">
        <f t="shared" si="79"/>
        <v>6503.7279702430606</v>
      </c>
      <c r="D111" s="38"/>
      <c r="E111" s="34"/>
      <c r="I111" s="62">
        <f>($I$106*(1-(1+$B$105)^(-$B$104))/$B$105)</f>
        <v>6503.7279702430606</v>
      </c>
    </row>
    <row r="112" spans="1:12" x14ac:dyDescent="0.45">
      <c r="A112" s="3" t="s">
        <v>126</v>
      </c>
      <c r="B112" s="76">
        <f t="shared" si="79"/>
        <v>5790.7279702430606</v>
      </c>
      <c r="D112" s="38"/>
      <c r="E112" s="34"/>
      <c r="I112" s="62">
        <f>I111-I106</f>
        <v>5790.7279702430606</v>
      </c>
    </row>
    <row r="113" spans="1:10" x14ac:dyDescent="0.45">
      <c r="D113" s="38"/>
      <c r="E113" s="34"/>
    </row>
    <row r="114" spans="1:10" x14ac:dyDescent="0.45">
      <c r="A114" s="25" t="s">
        <v>48</v>
      </c>
      <c r="D114" s="38"/>
      <c r="E114" s="34"/>
    </row>
    <row r="115" spans="1:10" x14ac:dyDescent="0.45">
      <c r="A115" s="5" t="s">
        <v>11</v>
      </c>
      <c r="B115" s="26">
        <v>41028</v>
      </c>
      <c r="C115" s="26">
        <v>41027</v>
      </c>
      <c r="D115" s="27">
        <v>41756</v>
      </c>
      <c r="E115" s="28">
        <f>D115+364</f>
        <v>42120</v>
      </c>
      <c r="F115" s="28">
        <f t="shared" ref="F115:J115" si="80">E115+364</f>
        <v>42484</v>
      </c>
      <c r="G115" s="28">
        <f t="shared" si="80"/>
        <v>42848</v>
      </c>
      <c r="H115" s="28">
        <f t="shared" si="80"/>
        <v>43212</v>
      </c>
      <c r="I115" s="28">
        <f t="shared" si="80"/>
        <v>43576</v>
      </c>
      <c r="J115" s="28">
        <f t="shared" si="80"/>
        <v>43940</v>
      </c>
    </row>
    <row r="116" spans="1:10" x14ac:dyDescent="0.45">
      <c r="A116" s="3" t="s">
        <v>49</v>
      </c>
      <c r="B116" s="62">
        <f t="shared" ref="B116:J116" si="81">-B22/B15</f>
        <v>0.82869058223337921</v>
      </c>
      <c r="C116" s="62">
        <f t="shared" si="81"/>
        <v>0.84402315372363157</v>
      </c>
      <c r="D116" s="63">
        <f t="shared" si="81"/>
        <v>1.4255196304849884</v>
      </c>
      <c r="E116" s="64">
        <f t="shared" si="81"/>
        <v>1.5821723381689707</v>
      </c>
      <c r="F116" s="62">
        <f t="shared" si="81"/>
        <v>2.30102036908248</v>
      </c>
      <c r="G116" s="62">
        <f t="shared" si="81"/>
        <v>2.4390815912274277</v>
      </c>
      <c r="H116" s="62">
        <f t="shared" si="81"/>
        <v>2.5854264867010741</v>
      </c>
      <c r="I116" s="62">
        <f t="shared" si="81"/>
        <v>2.7405520759031377</v>
      </c>
      <c r="J116" s="62">
        <f t="shared" si="81"/>
        <v>2.9049852004573267</v>
      </c>
    </row>
    <row r="117" spans="1:10" x14ac:dyDescent="0.45">
      <c r="A117" s="3" t="s">
        <v>50</v>
      </c>
      <c r="B117" s="62"/>
      <c r="C117" s="62"/>
      <c r="D117" s="63"/>
      <c r="E117" s="64">
        <f>E57/E22</f>
        <v>5.8497167783372124</v>
      </c>
      <c r="F117" s="62">
        <f>F57/F22</f>
        <v>5.518600734280386</v>
      </c>
      <c r="G117" s="62">
        <f>G57/G22</f>
        <v>5.2062271078116877</v>
      </c>
      <c r="H117" s="62">
        <f>H57/H22</f>
        <v>4.9115350073695145</v>
      </c>
      <c r="I117" s="62">
        <f>I57/I22</f>
        <v>4.633523591858034</v>
      </c>
      <c r="J117" s="62">
        <f>(J57+J56-J70)/J22</f>
        <v>-0.84983500939594425</v>
      </c>
    </row>
    <row r="118" spans="1:10" x14ac:dyDescent="0.45">
      <c r="A118" s="3" t="s">
        <v>125</v>
      </c>
      <c r="B118" s="62"/>
      <c r="C118" s="62"/>
      <c r="D118" s="63"/>
      <c r="E118" s="64">
        <f>(B107+E81)/E42</f>
        <v>6.1329931254867063</v>
      </c>
      <c r="F118" s="64">
        <f>(B108+F81)/F42</f>
        <v>5.7531014816087227</v>
      </c>
      <c r="G118" s="64">
        <f>(B109+G81)/G42</f>
        <v>5.4225125676764812</v>
      </c>
      <c r="H118" s="64">
        <f>(B110+H81)/H42</f>
        <v>5.1175124270401788</v>
      </c>
      <c r="I118" s="64">
        <f>(B111+I81)/I42</f>
        <v>4.8344247717590214</v>
      </c>
      <c r="J118" s="64">
        <f>(B112+J81)/J42</f>
        <v>2.2514735628714435</v>
      </c>
    </row>
    <row r="119" spans="1:10" x14ac:dyDescent="0.45">
      <c r="A119" s="3" t="s">
        <v>80</v>
      </c>
      <c r="D119" s="38"/>
      <c r="E119" s="65">
        <f>E49/E42</f>
        <v>0.18076793847750749</v>
      </c>
      <c r="F119" s="65">
        <f t="shared" ref="F119:J119" si="82">F49/F42</f>
        <v>0.12771434201926729</v>
      </c>
      <c r="G119" s="65">
        <f t="shared" si="82"/>
        <v>0.20033049951886392</v>
      </c>
      <c r="H119" s="65">
        <f t="shared" si="82"/>
        <v>0.2375574557274801</v>
      </c>
      <c r="I119" s="65">
        <f t="shared" si="82"/>
        <v>0.27631981061183192</v>
      </c>
      <c r="J119" s="65">
        <f t="shared" si="82"/>
        <v>0.32088596427029908</v>
      </c>
    </row>
    <row r="120" spans="1:10" x14ac:dyDescent="0.45">
      <c r="D120" s="38"/>
      <c r="E120" s="34"/>
    </row>
    <row r="121" spans="1:10" x14ac:dyDescent="0.45">
      <c r="A121" s="25" t="s">
        <v>127</v>
      </c>
      <c r="D121" s="38"/>
      <c r="E121" s="34"/>
      <c r="F121" s="34"/>
      <c r="G121" s="34"/>
      <c r="H121" s="34"/>
      <c r="I121" s="34"/>
      <c r="J121" s="34"/>
    </row>
    <row r="122" spans="1:10" x14ac:dyDescent="0.45">
      <c r="A122" s="5" t="s">
        <v>11</v>
      </c>
      <c r="B122" s="26">
        <v>41028</v>
      </c>
      <c r="C122" s="26">
        <v>41027</v>
      </c>
      <c r="D122" s="27">
        <v>41756</v>
      </c>
      <c r="E122" s="28">
        <f>D122+364</f>
        <v>42120</v>
      </c>
      <c r="F122" s="28">
        <f t="shared" ref="F122:J122" si="83">E122+364</f>
        <v>42484</v>
      </c>
      <c r="G122" s="28">
        <f t="shared" si="83"/>
        <v>42848</v>
      </c>
      <c r="H122" s="28">
        <f t="shared" si="83"/>
        <v>43212</v>
      </c>
      <c r="I122" s="28">
        <f t="shared" si="83"/>
        <v>43576</v>
      </c>
      <c r="J122" s="28">
        <f t="shared" si="83"/>
        <v>43940</v>
      </c>
    </row>
    <row r="123" spans="1:10" x14ac:dyDescent="0.45">
      <c r="A123" s="70" t="s">
        <v>129</v>
      </c>
      <c r="D123" s="38"/>
      <c r="E123" s="34"/>
    </row>
    <row r="124" spans="1:10" x14ac:dyDescent="0.45">
      <c r="A124" s="4" t="s">
        <v>130</v>
      </c>
      <c r="D124" s="38"/>
      <c r="E124" s="64">
        <f>E42/(E79+E80)</f>
        <v>1.5821723381689707</v>
      </c>
      <c r="F124" s="64">
        <f t="shared" ref="F124:J124" si="84">F42/(F79+F80)</f>
        <v>2.30102036908248</v>
      </c>
      <c r="G124" s="64">
        <f t="shared" si="84"/>
        <v>2.4390815912274277</v>
      </c>
      <c r="H124" s="64">
        <f t="shared" si="84"/>
        <v>2.5854264867010741</v>
      </c>
      <c r="I124" s="64">
        <f t="shared" si="84"/>
        <v>2.7405520759031377</v>
      </c>
      <c r="J124" s="64">
        <f t="shared" si="84"/>
        <v>0.37982919281255428</v>
      </c>
    </row>
    <row r="125" spans="1:10" x14ac:dyDescent="0.45">
      <c r="A125" s="4" t="s">
        <v>128</v>
      </c>
      <c r="D125" s="38"/>
      <c r="E125" s="64">
        <v>2</v>
      </c>
      <c r="F125" s="62">
        <f>E125</f>
        <v>2</v>
      </c>
      <c r="G125" s="62">
        <f t="shared" ref="G125:J125" si="85">F125</f>
        <v>2</v>
      </c>
      <c r="H125" s="62">
        <f t="shared" si="85"/>
        <v>2</v>
      </c>
      <c r="I125" s="62">
        <f t="shared" si="85"/>
        <v>2</v>
      </c>
      <c r="J125" s="62">
        <f t="shared" si="85"/>
        <v>2</v>
      </c>
    </row>
    <row r="126" spans="1:10" x14ac:dyDescent="0.45">
      <c r="A126" s="4" t="s">
        <v>131</v>
      </c>
      <c r="D126" s="38"/>
      <c r="E126" s="62">
        <f>E125*(-E15+E79)</f>
        <v>32414</v>
      </c>
      <c r="F126" s="62">
        <f t="shared" ref="F126:J126" si="86">F125*(-F15+F79)</f>
        <v>23625</v>
      </c>
      <c r="G126" s="62">
        <f t="shared" si="86"/>
        <v>23625</v>
      </c>
      <c r="H126" s="62">
        <f t="shared" si="86"/>
        <v>23625</v>
      </c>
      <c r="I126" s="62">
        <f t="shared" si="86"/>
        <v>23625</v>
      </c>
      <c r="J126" s="62">
        <f t="shared" si="86"/>
        <v>180687.2053530477</v>
      </c>
    </row>
    <row r="127" spans="1:10" x14ac:dyDescent="0.45">
      <c r="A127" s="4" t="s">
        <v>133</v>
      </c>
      <c r="D127" s="38"/>
      <c r="E127" s="39">
        <f>E22-E126</f>
        <v>-6771.7329152954917</v>
      </c>
      <c r="F127" s="39">
        <f t="shared" ref="F127:J127" si="87">F22-F126</f>
        <v>3555.8031097867934</v>
      </c>
      <c r="G127" s="39">
        <f t="shared" si="87"/>
        <v>5186.6512963739879</v>
      </c>
      <c r="H127" s="39">
        <f t="shared" si="87"/>
        <v>6915.3503741564382</v>
      </c>
      <c r="I127" s="39">
        <f t="shared" si="87"/>
        <v>8747.7713966058145</v>
      </c>
      <c r="J127" s="39">
        <f t="shared" si="87"/>
        <v>-146372.06767264553</v>
      </c>
    </row>
    <row r="128" spans="1:10" x14ac:dyDescent="0.45">
      <c r="D128" s="38"/>
      <c r="E128" s="34"/>
    </row>
    <row r="129" spans="1:16" x14ac:dyDescent="0.45">
      <c r="A129" s="70" t="s">
        <v>134</v>
      </c>
      <c r="D129" s="38"/>
      <c r="E129" s="34"/>
    </row>
    <row r="130" spans="1:16" x14ac:dyDescent="0.45">
      <c r="A130" s="4" t="s">
        <v>135</v>
      </c>
      <c r="D130" s="38"/>
      <c r="E130" s="64">
        <f>(E57-E67)/E42</f>
        <v>5.0706788058832304</v>
      </c>
      <c r="F130" s="64">
        <f t="shared" ref="F130:I130" si="88">(F57-F67)/F42</f>
        <v>4.6559449088139662</v>
      </c>
      <c r="G130" s="64">
        <f t="shared" si="88"/>
        <v>4.1920703578528045</v>
      </c>
      <c r="H130" s="64">
        <f t="shared" si="88"/>
        <v>3.7172259007374286</v>
      </c>
      <c r="I130" s="64">
        <f t="shared" si="88"/>
        <v>3.230497076876309</v>
      </c>
      <c r="J130" s="64">
        <f>(J57-J67)/J42</f>
        <v>4.8094749373891501</v>
      </c>
      <c r="M130" s="86"/>
    </row>
    <row r="131" spans="1:16" x14ac:dyDescent="0.45">
      <c r="A131" s="4" t="s">
        <v>128</v>
      </c>
      <c r="D131" s="38"/>
      <c r="E131" s="34">
        <v>4.5</v>
      </c>
      <c r="F131" s="31">
        <v>4.5</v>
      </c>
      <c r="G131" s="31">
        <v>4.25</v>
      </c>
      <c r="H131" s="75">
        <v>4</v>
      </c>
      <c r="I131" s="75">
        <v>4</v>
      </c>
      <c r="J131" s="75">
        <v>4</v>
      </c>
      <c r="M131" s="86"/>
    </row>
    <row r="132" spans="1:16" x14ac:dyDescent="0.45">
      <c r="A132" s="4" t="s">
        <v>131</v>
      </c>
      <c r="D132" s="38"/>
      <c r="E132" s="39">
        <f>(E57-E67)/E131</f>
        <v>28894.155609157406</v>
      </c>
      <c r="F132" s="39">
        <f t="shared" ref="F132:J132" si="89">(F57-F67)/F131</f>
        <v>28122.738190330365</v>
      </c>
      <c r="G132" s="39">
        <f t="shared" si="89"/>
        <v>28418.93396713429</v>
      </c>
      <c r="H132" s="39">
        <f t="shared" si="89"/>
        <v>28381.345357102582</v>
      </c>
      <c r="I132" s="39">
        <f t="shared" si="89"/>
        <v>26145.03584178002</v>
      </c>
      <c r="J132" s="39">
        <f t="shared" si="89"/>
        <v>41259.448661738075</v>
      </c>
      <c r="M132" s="86"/>
    </row>
    <row r="133" spans="1:16" x14ac:dyDescent="0.45">
      <c r="A133" s="4" t="s">
        <v>133</v>
      </c>
      <c r="D133" s="38"/>
      <c r="E133" s="39">
        <f>E42-E132</f>
        <v>-3251.8885244528974</v>
      </c>
      <c r="F133" s="39">
        <f t="shared" ref="F133:J133" si="90">F42-F132</f>
        <v>-941.93508054357153</v>
      </c>
      <c r="G133" s="39">
        <f t="shared" si="90"/>
        <v>392.7173292396983</v>
      </c>
      <c r="H133" s="39">
        <f t="shared" si="90"/>
        <v>2159.0050170538561</v>
      </c>
      <c r="I133" s="39">
        <f t="shared" si="90"/>
        <v>6227.7355548257947</v>
      </c>
      <c r="J133" s="39">
        <f t="shared" si="90"/>
        <v>-6944.3109813359042</v>
      </c>
    </row>
    <row r="134" spans="1:16" x14ac:dyDescent="0.45">
      <c r="D134" s="38"/>
      <c r="E134" s="34"/>
    </row>
    <row r="135" spans="1:16" x14ac:dyDescent="0.45">
      <c r="A135" s="25" t="s">
        <v>88</v>
      </c>
      <c r="D135" s="38"/>
      <c r="E135" s="34"/>
      <c r="K135" s="31"/>
      <c r="L135" s="31"/>
      <c r="M135" s="31"/>
      <c r="N135" s="31"/>
      <c r="O135" s="31"/>
    </row>
    <row r="136" spans="1:16" x14ac:dyDescent="0.45">
      <c r="A136" s="5" t="s">
        <v>11</v>
      </c>
      <c r="B136" s="26"/>
      <c r="C136" s="26"/>
      <c r="D136" s="27"/>
      <c r="E136" s="86">
        <v>42032</v>
      </c>
      <c r="F136" s="86">
        <v>42217</v>
      </c>
      <c r="G136" s="86">
        <v>42401</v>
      </c>
      <c r="H136" s="86">
        <v>42583</v>
      </c>
      <c r="I136" s="86">
        <v>42767</v>
      </c>
      <c r="J136" s="86">
        <v>42948</v>
      </c>
      <c r="K136" s="87">
        <v>43132</v>
      </c>
      <c r="L136" s="87">
        <v>43313</v>
      </c>
      <c r="M136" s="87">
        <v>43497</v>
      </c>
      <c r="N136" s="87">
        <v>43678</v>
      </c>
      <c r="O136" s="87">
        <v>43862</v>
      </c>
    </row>
    <row r="137" spans="1:16" x14ac:dyDescent="0.45">
      <c r="A137" s="69" t="s">
        <v>87</v>
      </c>
      <c r="D137" s="38"/>
      <c r="E137" s="34"/>
    </row>
    <row r="138" spans="1:16" x14ac:dyDescent="0.45">
      <c r="A138" s="3" t="s">
        <v>89</v>
      </c>
      <c r="D138" s="38"/>
      <c r="E138" s="64">
        <v>-150000</v>
      </c>
      <c r="F138" s="62"/>
      <c r="G138" s="62"/>
      <c r="H138" s="62"/>
      <c r="I138" s="62"/>
      <c r="J138" s="62"/>
    </row>
    <row r="139" spans="1:16" x14ac:dyDescent="0.45">
      <c r="A139" s="3" t="s">
        <v>95</v>
      </c>
      <c r="D139" s="38"/>
      <c r="E139" s="64"/>
      <c r="F139" s="62">
        <f t="shared" ref="F139:O139" si="91">-$E$138*coupon/2</f>
        <v>5906.25</v>
      </c>
      <c r="G139" s="62">
        <f t="shared" si="91"/>
        <v>5906.25</v>
      </c>
      <c r="H139" s="62">
        <f t="shared" si="91"/>
        <v>5906.25</v>
      </c>
      <c r="I139" s="62">
        <f t="shared" si="91"/>
        <v>5906.25</v>
      </c>
      <c r="J139" s="62">
        <f t="shared" si="91"/>
        <v>5906.25</v>
      </c>
      <c r="K139" s="62">
        <f t="shared" si="91"/>
        <v>5906.25</v>
      </c>
      <c r="L139" s="62">
        <f t="shared" si="91"/>
        <v>5906.25</v>
      </c>
      <c r="M139" s="62">
        <f t="shared" si="91"/>
        <v>5906.25</v>
      </c>
      <c r="N139" s="62">
        <f t="shared" si="91"/>
        <v>5906.25</v>
      </c>
      <c r="O139" s="62">
        <f t="shared" si="91"/>
        <v>5906.25</v>
      </c>
    </row>
    <row r="140" spans="1:16" x14ac:dyDescent="0.45">
      <c r="A140" s="3" t="s">
        <v>90</v>
      </c>
      <c r="D140" s="38"/>
      <c r="E140" s="64"/>
      <c r="F140" s="62"/>
      <c r="G140" s="62"/>
      <c r="H140" s="62"/>
      <c r="I140" s="62"/>
      <c r="O140" s="62">
        <f>-E138</f>
        <v>150000</v>
      </c>
    </row>
    <row r="141" spans="1:16" x14ac:dyDescent="0.45">
      <c r="A141" s="3" t="s">
        <v>91</v>
      </c>
      <c r="B141" s="68"/>
      <c r="D141" s="38"/>
      <c r="E141" s="64">
        <f>SUM(E138:E140)</f>
        <v>-150000</v>
      </c>
      <c r="F141" s="64">
        <f t="shared" ref="F141:O141" si="92">SUM(F138:F140)</f>
        <v>5906.25</v>
      </c>
      <c r="G141" s="64">
        <f t="shared" si="92"/>
        <v>5906.25</v>
      </c>
      <c r="H141" s="64">
        <f t="shared" si="92"/>
        <v>5906.25</v>
      </c>
      <c r="I141" s="64">
        <f t="shared" si="92"/>
        <v>5906.25</v>
      </c>
      <c r="J141" s="64">
        <f t="shared" si="92"/>
        <v>5906.25</v>
      </c>
      <c r="K141" s="64">
        <f t="shared" si="92"/>
        <v>5906.25</v>
      </c>
      <c r="L141" s="64">
        <f t="shared" si="92"/>
        <v>5906.25</v>
      </c>
      <c r="M141" s="64">
        <f t="shared" si="92"/>
        <v>5906.25</v>
      </c>
      <c r="N141" s="64">
        <f t="shared" si="92"/>
        <v>5906.25</v>
      </c>
      <c r="O141" s="64">
        <f t="shared" si="92"/>
        <v>155906.25</v>
      </c>
    </row>
    <row r="142" spans="1:16" x14ac:dyDescent="0.45">
      <c r="A142" s="3" t="s">
        <v>96</v>
      </c>
      <c r="B142" s="67">
        <f>XIRR(E141:O141,E136:O136)</f>
        <v>8.0048123002052343E-2</v>
      </c>
      <c r="D142" s="38"/>
      <c r="E142" s="34"/>
    </row>
    <row r="143" spans="1:16" x14ac:dyDescent="0.45">
      <c r="A143" s="3" t="s">
        <v>92</v>
      </c>
      <c r="B143" s="71">
        <f>IRR(E141:O141)</f>
        <v>3.9375000000075211E-2</v>
      </c>
      <c r="D143" s="38"/>
      <c r="E143" s="34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16"/>
    </row>
    <row r="144" spans="1:16" x14ac:dyDescent="0.45">
      <c r="A144" s="3" t="s">
        <v>94</v>
      </c>
      <c r="B144" s="71">
        <f>B143*2</f>
        <v>7.8750000000150422E-2</v>
      </c>
      <c r="D144" s="38"/>
      <c r="E144" s="34"/>
    </row>
    <row r="145" spans="1:15" x14ac:dyDescent="0.45">
      <c r="A145" s="3"/>
      <c r="B145" s="71"/>
      <c r="D145" s="38"/>
      <c r="E145" s="34"/>
    </row>
    <row r="146" spans="1:15" x14ac:dyDescent="0.45">
      <c r="A146" s="5" t="s">
        <v>11</v>
      </c>
      <c r="B146" s="26"/>
      <c r="C146" s="26"/>
      <c r="D146" s="27"/>
      <c r="E146" s="86">
        <v>42032</v>
      </c>
      <c r="F146" s="86">
        <v>42217</v>
      </c>
      <c r="G146" s="86">
        <v>42401</v>
      </c>
      <c r="H146" s="86">
        <v>42583</v>
      </c>
      <c r="I146" s="86">
        <v>42767</v>
      </c>
      <c r="J146" s="86">
        <v>42948</v>
      </c>
      <c r="K146" s="86">
        <v>43132</v>
      </c>
      <c r="L146" s="86">
        <v>43313</v>
      </c>
      <c r="M146" s="86">
        <v>43497</v>
      </c>
      <c r="N146" s="86">
        <v>43678</v>
      </c>
      <c r="O146" s="86">
        <v>43862</v>
      </c>
    </row>
    <row r="147" spans="1:15" x14ac:dyDescent="0.45">
      <c r="A147" s="69" t="s">
        <v>103</v>
      </c>
      <c r="D147" s="38"/>
      <c r="E147" s="34"/>
    </row>
    <row r="148" spans="1:15" x14ac:dyDescent="0.45">
      <c r="A148" s="11" t="s">
        <v>99</v>
      </c>
      <c r="B148" s="31">
        <v>150000</v>
      </c>
      <c r="D148" s="38"/>
      <c r="E148" s="34"/>
    </row>
    <row r="149" spans="1:15" x14ac:dyDescent="0.45">
      <c r="A149" s="11" t="s">
        <v>98</v>
      </c>
      <c r="B149" s="31">
        <f>B148*0.4</f>
        <v>60000</v>
      </c>
      <c r="D149" s="38"/>
      <c r="E149" s="34"/>
    </row>
    <row r="150" spans="1:15" x14ac:dyDescent="0.45">
      <c r="A150" s="3" t="s">
        <v>111</v>
      </c>
      <c r="B150" s="31">
        <v>1.0787500000000001</v>
      </c>
      <c r="D150" s="38"/>
      <c r="E150" s="34"/>
    </row>
    <row r="151" spans="1:15" x14ac:dyDescent="0.45">
      <c r="A151" s="3" t="s">
        <v>97</v>
      </c>
      <c r="B151" s="31">
        <f>B149*B150</f>
        <v>64725.000000000007</v>
      </c>
      <c r="D151" s="38"/>
      <c r="E151" s="34"/>
    </row>
    <row r="152" spans="1:15" x14ac:dyDescent="0.45">
      <c r="A152" s="3" t="s">
        <v>102</v>
      </c>
      <c r="B152" s="31">
        <f>B148-B149</f>
        <v>90000</v>
      </c>
      <c r="D152" s="38"/>
      <c r="E152" s="34"/>
    </row>
    <row r="153" spans="1:15" x14ac:dyDescent="0.45">
      <c r="A153" s="3"/>
      <c r="D153" s="38"/>
      <c r="E153" s="34"/>
    </row>
    <row r="154" spans="1:15" x14ac:dyDescent="0.45">
      <c r="A154" s="3" t="s">
        <v>100</v>
      </c>
      <c r="B154" s="31">
        <f>B148*coupon/2</f>
        <v>5906.25</v>
      </c>
      <c r="D154" s="38"/>
      <c r="E154" s="34"/>
    </row>
    <row r="155" spans="1:15" x14ac:dyDescent="0.45">
      <c r="A155" s="3" t="s">
        <v>101</v>
      </c>
      <c r="B155" s="31">
        <f>B152*coupon/2</f>
        <v>3543.75</v>
      </c>
      <c r="D155" s="38"/>
      <c r="E155" s="34"/>
    </row>
    <row r="156" spans="1:15" x14ac:dyDescent="0.45">
      <c r="A156" s="69"/>
      <c r="D156" s="38"/>
      <c r="E156" s="34"/>
    </row>
    <row r="157" spans="1:15" x14ac:dyDescent="0.45">
      <c r="A157" s="3" t="s">
        <v>89</v>
      </c>
      <c r="D157" s="38"/>
      <c r="E157" s="64">
        <v>-150000</v>
      </c>
    </row>
    <row r="158" spans="1:15" x14ac:dyDescent="0.45">
      <c r="A158" s="3" t="s">
        <v>95</v>
      </c>
      <c r="D158" s="38"/>
      <c r="E158" s="34"/>
      <c r="F158" s="62">
        <f>$B$154</f>
        <v>5906.25</v>
      </c>
      <c r="G158" s="62">
        <f t="shared" ref="G158:H158" si="93">$B$154</f>
        <v>5906.25</v>
      </c>
      <c r="H158" s="62">
        <f t="shared" si="93"/>
        <v>5906.25</v>
      </c>
      <c r="I158" s="62">
        <f>$B$155</f>
        <v>3543.75</v>
      </c>
      <c r="J158" s="62">
        <f t="shared" ref="J158:O158" si="94">$B$155</f>
        <v>3543.75</v>
      </c>
      <c r="K158" s="62">
        <f t="shared" si="94"/>
        <v>3543.75</v>
      </c>
      <c r="L158" s="62">
        <f t="shared" si="94"/>
        <v>3543.75</v>
      </c>
      <c r="M158" s="62">
        <f t="shared" si="94"/>
        <v>3543.75</v>
      </c>
      <c r="N158" s="62">
        <f t="shared" si="94"/>
        <v>3543.75</v>
      </c>
      <c r="O158" s="62">
        <f t="shared" si="94"/>
        <v>3543.75</v>
      </c>
    </row>
    <row r="159" spans="1:15" x14ac:dyDescent="0.45">
      <c r="A159" s="3" t="s">
        <v>90</v>
      </c>
      <c r="D159" s="38"/>
      <c r="E159" s="34"/>
      <c r="H159" s="62">
        <f>B151</f>
        <v>64725.000000000007</v>
      </c>
      <c r="O159" s="16">
        <f>B152</f>
        <v>90000</v>
      </c>
    </row>
    <row r="160" spans="1:15" x14ac:dyDescent="0.45">
      <c r="A160" s="3" t="s">
        <v>91</v>
      </c>
      <c r="D160" s="38"/>
      <c r="E160" s="64">
        <f>SUM(E157:E159)</f>
        <v>-150000</v>
      </c>
      <c r="F160" s="64">
        <f t="shared" ref="F160:O160" si="95">SUM(F157:F159)</f>
        <v>5906.25</v>
      </c>
      <c r="G160" s="64">
        <f t="shared" si="95"/>
        <v>5906.25</v>
      </c>
      <c r="H160" s="64">
        <f t="shared" si="95"/>
        <v>70631.25</v>
      </c>
      <c r="I160" s="64">
        <f t="shared" si="95"/>
        <v>3543.75</v>
      </c>
      <c r="J160" s="64">
        <f t="shared" si="95"/>
        <v>3543.75</v>
      </c>
      <c r="K160" s="64">
        <f t="shared" si="95"/>
        <v>3543.75</v>
      </c>
      <c r="L160" s="64">
        <f t="shared" si="95"/>
        <v>3543.75</v>
      </c>
      <c r="M160" s="64">
        <f t="shared" si="95"/>
        <v>3543.75</v>
      </c>
      <c r="N160" s="64">
        <f t="shared" si="95"/>
        <v>3543.75</v>
      </c>
      <c r="O160" s="64">
        <f t="shared" si="95"/>
        <v>93543.75</v>
      </c>
    </row>
    <row r="161" spans="1:15" x14ac:dyDescent="0.45">
      <c r="A161" s="3" t="s">
        <v>96</v>
      </c>
      <c r="B161" s="67">
        <f>XIRR(E160:O160,E146:O146)</f>
        <v>8.977093398571015E-2</v>
      </c>
      <c r="D161" s="38"/>
      <c r="E161" s="34"/>
    </row>
    <row r="162" spans="1:15" x14ac:dyDescent="0.45">
      <c r="A162" s="3" t="s">
        <v>92</v>
      </c>
      <c r="B162" s="71">
        <f>IRR(E160:O160)</f>
        <v>4.4089408085340454E-2</v>
      </c>
      <c r="D162" s="38"/>
      <c r="E162" s="34"/>
    </row>
    <row r="163" spans="1:15" x14ac:dyDescent="0.45">
      <c r="A163" s="3" t="s">
        <v>94</v>
      </c>
      <c r="B163" s="71">
        <f>B162*2</f>
        <v>8.8178816170680907E-2</v>
      </c>
      <c r="D163" s="38"/>
      <c r="E163" s="34"/>
    </row>
    <row r="164" spans="1:15" x14ac:dyDescent="0.45">
      <c r="D164" s="38"/>
      <c r="E164" s="34"/>
    </row>
    <row r="165" spans="1:15" x14ac:dyDescent="0.45">
      <c r="A165" s="5" t="s">
        <v>11</v>
      </c>
      <c r="D165" s="38"/>
      <c r="E165" s="28">
        <v>42032</v>
      </c>
      <c r="F165" s="28">
        <v>42217</v>
      </c>
      <c r="G165" s="28">
        <v>42401</v>
      </c>
      <c r="H165" s="28">
        <v>42583</v>
      </c>
      <c r="I165" s="28">
        <v>42767</v>
      </c>
      <c r="J165" s="28">
        <v>42948</v>
      </c>
      <c r="K165" s="1">
        <v>43132</v>
      </c>
      <c r="L165" s="1">
        <v>43313</v>
      </c>
      <c r="M165" s="1">
        <v>43497</v>
      </c>
      <c r="N165" s="1">
        <v>43678</v>
      </c>
      <c r="O165" s="1">
        <v>43862</v>
      </c>
    </row>
    <row r="166" spans="1:15" x14ac:dyDescent="0.45">
      <c r="A166" s="69" t="s">
        <v>104</v>
      </c>
      <c r="D166" s="38"/>
      <c r="E166" s="34"/>
    </row>
    <row r="167" spans="1:15" x14ac:dyDescent="0.45">
      <c r="A167" s="11" t="s">
        <v>99</v>
      </c>
      <c r="B167" s="31">
        <v>150000</v>
      </c>
      <c r="D167" s="38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</row>
    <row r="168" spans="1:15" x14ac:dyDescent="0.45">
      <c r="A168" s="11"/>
      <c r="D168" s="38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</row>
    <row r="169" spans="1:15" x14ac:dyDescent="0.45">
      <c r="A169" s="11" t="s">
        <v>105</v>
      </c>
      <c r="B169" s="71">
        <v>1.3799999999999999E-3</v>
      </c>
      <c r="D169" s="38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</row>
    <row r="170" spans="1:15" x14ac:dyDescent="0.45">
      <c r="A170" s="3" t="s">
        <v>106</v>
      </c>
      <c r="B170" s="72">
        <v>5.0000000000000001E-3</v>
      </c>
      <c r="D170" s="38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</row>
    <row r="171" spans="1:15" x14ac:dyDescent="0.45">
      <c r="A171" s="3" t="s">
        <v>108</v>
      </c>
      <c r="B171" s="31">
        <f>B167*(B169+B170)</f>
        <v>957</v>
      </c>
      <c r="D171" s="38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</row>
    <row r="172" spans="1:15" x14ac:dyDescent="0.45">
      <c r="A172" s="3" t="s">
        <v>107</v>
      </c>
      <c r="B172" s="31">
        <f>0.01*B167</f>
        <v>1500</v>
      </c>
      <c r="D172" s="38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</row>
    <row r="173" spans="1:15" x14ac:dyDescent="0.45">
      <c r="A173" s="3" t="s">
        <v>109</v>
      </c>
      <c r="B173" s="31">
        <f>MAX(B171,B172)</f>
        <v>1500</v>
      </c>
      <c r="D173" s="38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</row>
    <row r="174" spans="1:15" x14ac:dyDescent="0.45">
      <c r="D174" s="38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</row>
    <row r="175" spans="1:15" x14ac:dyDescent="0.45">
      <c r="A175" s="3" t="s">
        <v>100</v>
      </c>
      <c r="B175" s="31">
        <f>B167*coupon/2</f>
        <v>5906.25</v>
      </c>
      <c r="D175" s="38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</row>
    <row r="176" spans="1:15" x14ac:dyDescent="0.45">
      <c r="A176" s="3"/>
      <c r="D176" s="38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</row>
    <row r="177" spans="1:15" x14ac:dyDescent="0.45">
      <c r="A177" s="3" t="s">
        <v>89</v>
      </c>
      <c r="D177" s="38"/>
      <c r="E177" s="64">
        <f>-B167</f>
        <v>-150000</v>
      </c>
      <c r="F177" s="64"/>
      <c r="G177" s="64"/>
      <c r="H177" s="64"/>
      <c r="I177" s="64"/>
      <c r="J177" s="64"/>
      <c r="K177" s="64"/>
      <c r="L177" s="64"/>
      <c r="M177" s="64"/>
      <c r="N177" s="64"/>
      <c r="O177" s="64"/>
    </row>
    <row r="178" spans="1:15" x14ac:dyDescent="0.45">
      <c r="A178" s="3" t="s">
        <v>95</v>
      </c>
      <c r="D178" s="38"/>
      <c r="E178" s="64"/>
      <c r="F178" s="64">
        <f>$B$175</f>
        <v>5906.25</v>
      </c>
      <c r="G178" s="64">
        <f t="shared" ref="G178:H178" si="96">$B$175</f>
        <v>5906.25</v>
      </c>
      <c r="H178" s="64">
        <f t="shared" si="96"/>
        <v>5906.25</v>
      </c>
      <c r="I178" s="64"/>
      <c r="J178" s="64"/>
      <c r="K178" s="64"/>
      <c r="L178" s="64"/>
      <c r="M178" s="64"/>
      <c r="N178" s="64"/>
      <c r="O178" s="64"/>
    </row>
    <row r="179" spans="1:15" x14ac:dyDescent="0.45">
      <c r="A179" s="3" t="s">
        <v>90</v>
      </c>
      <c r="D179" s="38"/>
      <c r="E179" s="64"/>
      <c r="F179" s="64"/>
      <c r="G179" s="64"/>
      <c r="H179" s="64">
        <f>B167+B173</f>
        <v>151500</v>
      </c>
      <c r="I179" s="64"/>
      <c r="J179" s="64"/>
      <c r="K179" s="64"/>
      <c r="L179" s="64"/>
      <c r="M179" s="64"/>
      <c r="N179" s="64"/>
      <c r="O179" s="64"/>
    </row>
    <row r="180" spans="1:15" x14ac:dyDescent="0.45">
      <c r="A180" s="3" t="s">
        <v>91</v>
      </c>
      <c r="D180" s="38"/>
      <c r="E180" s="64">
        <f>SUM(E177:E179)</f>
        <v>-150000</v>
      </c>
      <c r="F180" s="64">
        <f t="shared" ref="F180:H180" si="97">SUM(F177:F179)</f>
        <v>5906.25</v>
      </c>
      <c r="G180" s="64">
        <f t="shared" si="97"/>
        <v>5906.25</v>
      </c>
      <c r="H180" s="64">
        <f t="shared" si="97"/>
        <v>157406.25</v>
      </c>
      <c r="I180" s="64"/>
      <c r="J180" s="64"/>
      <c r="K180" s="64"/>
      <c r="L180" s="64"/>
      <c r="M180" s="64"/>
      <c r="N180" s="64"/>
      <c r="O180" s="64"/>
    </row>
    <row r="181" spans="1:15" x14ac:dyDescent="0.45">
      <c r="A181" s="3" t="s">
        <v>96</v>
      </c>
      <c r="B181" s="67">
        <f>XIRR(E180:H180,E165:H165)</f>
        <v>8.6358681321144118E-2</v>
      </c>
      <c r="D181" s="38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</row>
    <row r="182" spans="1:15" x14ac:dyDescent="0.45">
      <c r="A182" s="3" t="s">
        <v>92</v>
      </c>
      <c r="B182" s="71">
        <f>IRR(E180:H180)</f>
        <v>4.2570374773108322E-2</v>
      </c>
      <c r="D182" s="38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</row>
    <row r="183" spans="1:15" x14ac:dyDescent="0.45">
      <c r="A183" s="3" t="s">
        <v>94</v>
      </c>
      <c r="B183" s="71">
        <f>B182*2</f>
        <v>8.5140749546216643E-2</v>
      </c>
      <c r="D183" s="38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</row>
    <row r="184" spans="1:15" x14ac:dyDescent="0.45">
      <c r="D184" s="38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</row>
    <row r="185" spans="1:15" x14ac:dyDescent="0.45">
      <c r="A185" s="5" t="s">
        <v>11</v>
      </c>
      <c r="D185" s="38"/>
      <c r="E185" s="28">
        <v>42032</v>
      </c>
      <c r="F185" s="28">
        <v>42217</v>
      </c>
      <c r="G185" s="28">
        <v>42401</v>
      </c>
      <c r="H185" s="28">
        <v>42583</v>
      </c>
      <c r="I185" s="28">
        <v>42767</v>
      </c>
      <c r="J185" s="28">
        <v>42948</v>
      </c>
      <c r="K185" s="1">
        <v>43132</v>
      </c>
      <c r="L185" s="1">
        <v>43313</v>
      </c>
      <c r="M185" s="1">
        <v>43497</v>
      </c>
      <c r="N185" s="1">
        <v>43678</v>
      </c>
      <c r="O185" s="1">
        <v>43862</v>
      </c>
    </row>
    <row r="186" spans="1:15" x14ac:dyDescent="0.45">
      <c r="A186" s="69" t="s">
        <v>110</v>
      </c>
      <c r="D186" s="38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</row>
    <row r="187" spans="1:15" x14ac:dyDescent="0.45">
      <c r="A187" s="11" t="s">
        <v>99</v>
      </c>
      <c r="B187" s="31">
        <v>150000</v>
      </c>
      <c r="D187" s="38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</row>
    <row r="188" spans="1:15" x14ac:dyDescent="0.45">
      <c r="A188" s="3" t="s">
        <v>100</v>
      </c>
      <c r="B188" s="31">
        <f>B187*coupon/2</f>
        <v>5906.25</v>
      </c>
      <c r="D188" s="38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</row>
    <row r="189" spans="1:15" x14ac:dyDescent="0.45">
      <c r="D189" s="38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</row>
    <row r="190" spans="1:15" x14ac:dyDescent="0.45">
      <c r="A190" s="3" t="s">
        <v>112</v>
      </c>
      <c r="B190" s="31">
        <v>1.03938</v>
      </c>
      <c r="D190" s="38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</row>
    <row r="191" spans="1:15" x14ac:dyDescent="0.45">
      <c r="D191" s="38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</row>
    <row r="192" spans="1:15" x14ac:dyDescent="0.45">
      <c r="D192" s="38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</row>
    <row r="193" spans="1:15" x14ac:dyDescent="0.45">
      <c r="A193" s="3" t="s">
        <v>89</v>
      </c>
      <c r="D193" s="38"/>
      <c r="E193" s="64">
        <f>-B187</f>
        <v>-150000</v>
      </c>
      <c r="F193" s="64"/>
      <c r="G193" s="64"/>
      <c r="H193" s="64"/>
      <c r="I193" s="64"/>
      <c r="J193" s="64"/>
      <c r="K193" s="64"/>
      <c r="L193" s="64"/>
      <c r="M193" s="64"/>
      <c r="N193" s="64"/>
      <c r="O193" s="64"/>
    </row>
    <row r="194" spans="1:15" x14ac:dyDescent="0.45">
      <c r="A194" s="3" t="s">
        <v>95</v>
      </c>
      <c r="D194" s="38"/>
      <c r="E194" s="64"/>
      <c r="F194" s="64">
        <f>$B$188</f>
        <v>5906.25</v>
      </c>
      <c r="G194" s="64">
        <f t="shared" ref="G194:J194" si="98">$B$188</f>
        <v>5906.25</v>
      </c>
      <c r="H194" s="64">
        <f t="shared" si="98"/>
        <v>5906.25</v>
      </c>
      <c r="I194" s="64">
        <f t="shared" si="98"/>
        <v>5906.25</v>
      </c>
      <c r="J194" s="64">
        <f t="shared" si="98"/>
        <v>5906.25</v>
      </c>
      <c r="K194" s="64"/>
      <c r="L194" s="64"/>
      <c r="M194" s="64"/>
      <c r="N194" s="64"/>
      <c r="O194" s="64"/>
    </row>
    <row r="195" spans="1:15" x14ac:dyDescent="0.45">
      <c r="A195" s="3" t="s">
        <v>90</v>
      </c>
      <c r="D195" s="38"/>
      <c r="E195" s="64"/>
      <c r="F195" s="64"/>
      <c r="G195" s="64"/>
      <c r="H195" s="64"/>
      <c r="I195" s="64"/>
      <c r="J195" s="64">
        <f>B187*B190</f>
        <v>155907</v>
      </c>
      <c r="K195" s="64"/>
      <c r="L195" s="64"/>
      <c r="M195" s="64"/>
      <c r="N195" s="64"/>
      <c r="O195" s="64"/>
    </row>
    <row r="196" spans="1:15" x14ac:dyDescent="0.45">
      <c r="A196" s="3" t="s">
        <v>91</v>
      </c>
      <c r="D196" s="38"/>
      <c r="E196" s="64">
        <f>SUM(E193:E195)</f>
        <v>-150000</v>
      </c>
      <c r="F196" s="64">
        <f t="shared" ref="F196:J196" si="99">SUM(F193:F195)</f>
        <v>5906.25</v>
      </c>
      <c r="G196" s="64">
        <f t="shared" si="99"/>
        <v>5906.25</v>
      </c>
      <c r="H196" s="64">
        <f t="shared" si="99"/>
        <v>5906.25</v>
      </c>
      <c r="I196" s="64">
        <f t="shared" si="99"/>
        <v>5906.25</v>
      </c>
      <c r="J196" s="64">
        <f t="shared" si="99"/>
        <v>161813.25</v>
      </c>
      <c r="K196" s="64"/>
      <c r="L196" s="64"/>
      <c r="M196" s="64"/>
      <c r="N196" s="64"/>
      <c r="O196" s="64"/>
    </row>
    <row r="197" spans="1:15" x14ac:dyDescent="0.45">
      <c r="A197" s="3" t="s">
        <v>96</v>
      </c>
      <c r="B197" s="73">
        <f>XIRR(E196:J196,E185:J185)</f>
        <v>9.4855508208274833E-2</v>
      </c>
      <c r="D197" s="38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</row>
    <row r="198" spans="1:15" x14ac:dyDescent="0.45">
      <c r="A198" s="3" t="s">
        <v>92</v>
      </c>
      <c r="B198" s="71">
        <f>IRR(E196:J196)</f>
        <v>4.6551061712468256E-2</v>
      </c>
      <c r="D198" s="38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</row>
    <row r="199" spans="1:15" x14ac:dyDescent="0.45">
      <c r="A199" s="3" t="s">
        <v>94</v>
      </c>
      <c r="B199" s="71">
        <f>B198*2</f>
        <v>9.3102123424936511E-2</v>
      </c>
      <c r="D199" s="38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</row>
    <row r="200" spans="1:15" x14ac:dyDescent="0.45">
      <c r="D200" s="38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</row>
    <row r="201" spans="1:15" x14ac:dyDescent="0.45">
      <c r="A201" s="5" t="s">
        <v>11</v>
      </c>
      <c r="D201" s="38"/>
      <c r="E201" s="28">
        <v>42032</v>
      </c>
      <c r="F201" s="28">
        <v>42217</v>
      </c>
      <c r="G201" s="28">
        <v>42401</v>
      </c>
      <c r="H201" s="28">
        <v>42583</v>
      </c>
      <c r="I201" s="28">
        <v>42767</v>
      </c>
      <c r="J201" s="28">
        <v>42948</v>
      </c>
      <c r="K201" s="1">
        <v>43132</v>
      </c>
      <c r="L201" s="1">
        <v>43313</v>
      </c>
      <c r="M201" s="1">
        <v>43497</v>
      </c>
      <c r="N201" s="1">
        <v>43678</v>
      </c>
      <c r="O201" s="1">
        <v>43862</v>
      </c>
    </row>
    <row r="202" spans="1:15" x14ac:dyDescent="0.45">
      <c r="A202" s="69" t="s">
        <v>113</v>
      </c>
      <c r="D202" s="38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</row>
    <row r="203" spans="1:15" x14ac:dyDescent="0.45">
      <c r="A203" s="11" t="s">
        <v>99</v>
      </c>
      <c r="B203" s="31">
        <v>150000</v>
      </c>
      <c r="D203" s="38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</row>
    <row r="204" spans="1:15" x14ac:dyDescent="0.45">
      <c r="A204" s="3" t="s">
        <v>100</v>
      </c>
      <c r="B204" s="31">
        <f>B203*coupon/2</f>
        <v>5906.25</v>
      </c>
      <c r="D204" s="3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</row>
    <row r="205" spans="1:15" x14ac:dyDescent="0.45">
      <c r="D205" s="38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</row>
    <row r="206" spans="1:15" x14ac:dyDescent="0.45">
      <c r="A206" s="3" t="s">
        <v>112</v>
      </c>
      <c r="B206" s="31">
        <v>1.01969</v>
      </c>
      <c r="D206" s="38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</row>
    <row r="207" spans="1:15" x14ac:dyDescent="0.45">
      <c r="D207" s="38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</row>
    <row r="208" spans="1:15" x14ac:dyDescent="0.45">
      <c r="D208" s="38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</row>
    <row r="209" spans="1:15" x14ac:dyDescent="0.45">
      <c r="A209" s="3" t="s">
        <v>89</v>
      </c>
      <c r="D209" s="38"/>
      <c r="E209" s="64">
        <f>-B203</f>
        <v>-150000</v>
      </c>
      <c r="F209" s="64"/>
      <c r="G209" s="64"/>
      <c r="H209" s="64"/>
      <c r="I209" s="64"/>
      <c r="J209" s="64"/>
      <c r="K209" s="64"/>
      <c r="L209" s="64"/>
      <c r="M209" s="64"/>
      <c r="N209" s="64"/>
      <c r="O209" s="64"/>
    </row>
    <row r="210" spans="1:15" x14ac:dyDescent="0.45">
      <c r="A210" s="3" t="s">
        <v>95</v>
      </c>
      <c r="D210" s="38"/>
      <c r="E210" s="64"/>
      <c r="F210" s="64">
        <f>$B$204</f>
        <v>5906.25</v>
      </c>
      <c r="G210" s="64">
        <f t="shared" ref="G210:L210" si="100">$B$204</f>
        <v>5906.25</v>
      </c>
      <c r="H210" s="64">
        <f t="shared" si="100"/>
        <v>5906.25</v>
      </c>
      <c r="I210" s="64">
        <f t="shared" si="100"/>
        <v>5906.25</v>
      </c>
      <c r="J210" s="64">
        <f t="shared" si="100"/>
        <v>5906.25</v>
      </c>
      <c r="K210" s="64">
        <f t="shared" si="100"/>
        <v>5906.25</v>
      </c>
      <c r="L210" s="64">
        <f t="shared" si="100"/>
        <v>5906.25</v>
      </c>
      <c r="M210" s="64"/>
      <c r="N210" s="64"/>
      <c r="O210" s="64"/>
    </row>
    <row r="211" spans="1:15" x14ac:dyDescent="0.45">
      <c r="A211" s="3" t="s">
        <v>90</v>
      </c>
      <c r="D211" s="38"/>
      <c r="E211" s="64"/>
      <c r="F211" s="64"/>
      <c r="G211" s="64"/>
      <c r="H211" s="64"/>
      <c r="I211" s="64"/>
      <c r="J211" s="64"/>
      <c r="K211" s="64"/>
      <c r="L211" s="64">
        <f>B203*B206</f>
        <v>152953.5</v>
      </c>
      <c r="M211" s="64"/>
      <c r="N211" s="64"/>
      <c r="O211" s="64"/>
    </row>
    <row r="212" spans="1:15" x14ac:dyDescent="0.45">
      <c r="A212" s="3" t="s">
        <v>91</v>
      </c>
      <c r="D212" s="38"/>
      <c r="E212" s="64">
        <f>SUM(E209:E211)</f>
        <v>-150000</v>
      </c>
      <c r="F212" s="64">
        <f t="shared" ref="F212:L212" si="101">SUM(F209:F211)</f>
        <v>5906.25</v>
      </c>
      <c r="G212" s="64">
        <f t="shared" si="101"/>
        <v>5906.25</v>
      </c>
      <c r="H212" s="64">
        <f t="shared" si="101"/>
        <v>5906.25</v>
      </c>
      <c r="I212" s="64">
        <f t="shared" si="101"/>
        <v>5906.25</v>
      </c>
      <c r="J212" s="64">
        <f t="shared" si="101"/>
        <v>5906.25</v>
      </c>
      <c r="K212" s="64">
        <f t="shared" si="101"/>
        <v>5906.25</v>
      </c>
      <c r="L212" s="64">
        <f t="shared" si="101"/>
        <v>158859.75</v>
      </c>
      <c r="M212" s="64"/>
      <c r="N212" s="64"/>
      <c r="O212" s="64"/>
    </row>
    <row r="213" spans="1:15" x14ac:dyDescent="0.45">
      <c r="A213" s="3" t="s">
        <v>96</v>
      </c>
      <c r="B213" s="73">
        <f>XIRR(E212:L212,E201:L201)</f>
        <v>8.518178761005403E-2</v>
      </c>
      <c r="D213" s="38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</row>
    <row r="214" spans="1:15" x14ac:dyDescent="0.45">
      <c r="A214" s="3" t="s">
        <v>92</v>
      </c>
      <c r="B214" s="71">
        <f>IRR(E212:L212)</f>
        <v>4.1853951010932811E-2</v>
      </c>
      <c r="D214" s="38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</row>
    <row r="215" spans="1:15" x14ac:dyDescent="0.45">
      <c r="A215" s="3" t="s">
        <v>94</v>
      </c>
      <c r="B215" s="71">
        <f>B214*2</f>
        <v>8.3707902021865621E-2</v>
      </c>
      <c r="D215" s="38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</row>
    <row r="216" spans="1:15" x14ac:dyDescent="0.45">
      <c r="D216" s="38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</row>
    <row r="217" spans="1:15" x14ac:dyDescent="0.45">
      <c r="D217" s="38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</row>
    <row r="218" spans="1:15" x14ac:dyDescent="0.45">
      <c r="D218" s="38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</row>
    <row r="219" spans="1:15" x14ac:dyDescent="0.45"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</row>
    <row r="220" spans="1:15" x14ac:dyDescent="0.45"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</row>
    <row r="221" spans="1:15" x14ac:dyDescent="0.45"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</row>
    <row r="222" spans="1:15" x14ac:dyDescent="0.45"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</row>
    <row r="223" spans="1:15" x14ac:dyDescent="0.45"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</row>
    <row r="224" spans="1:15" x14ac:dyDescent="0.45"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</row>
    <row r="225" spans="5:15" x14ac:dyDescent="0.45"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</row>
    <row r="226" spans="5:15" x14ac:dyDescent="0.45"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</row>
    <row r="227" spans="5:15" x14ac:dyDescent="0.45"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</row>
    <row r="228" spans="5:15" x14ac:dyDescent="0.45"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</row>
    <row r="229" spans="5:15" x14ac:dyDescent="0.45"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</row>
    <row r="230" spans="5:15" x14ac:dyDescent="0.45"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</row>
    <row r="231" spans="5:15" x14ac:dyDescent="0.45"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</row>
    <row r="232" spans="5:15" x14ac:dyDescent="0.45"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</row>
    <row r="233" spans="5:15" x14ac:dyDescent="0.45"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</row>
    <row r="234" spans="5:15" x14ac:dyDescent="0.45"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</row>
    <row r="235" spans="5:15" x14ac:dyDescent="0.45"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</row>
    <row r="236" spans="5:15" x14ac:dyDescent="0.45"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</row>
    <row r="237" spans="5:15" x14ac:dyDescent="0.45"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</row>
    <row r="238" spans="5:15" x14ac:dyDescent="0.45"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</row>
    <row r="239" spans="5:15" x14ac:dyDescent="0.45"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</row>
    <row r="240" spans="5:15" x14ac:dyDescent="0.45"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</row>
    <row r="241" spans="5:15" x14ac:dyDescent="0.45"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</row>
    <row r="242" spans="5:15" x14ac:dyDescent="0.45"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</row>
    <row r="243" spans="5:15" x14ac:dyDescent="0.45"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</row>
    <row r="244" spans="5:15" x14ac:dyDescent="0.45"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</row>
    <row r="245" spans="5:15" x14ac:dyDescent="0.45"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</row>
    <row r="246" spans="5:15" x14ac:dyDescent="0.45"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</row>
    <row r="247" spans="5:15" x14ac:dyDescent="0.45"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</row>
    <row r="248" spans="5:15" x14ac:dyDescent="0.45"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</row>
    <row r="249" spans="5:15" x14ac:dyDescent="0.45"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</row>
    <row r="250" spans="5:15" x14ac:dyDescent="0.45"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</row>
    <row r="251" spans="5:15" x14ac:dyDescent="0.45"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</row>
    <row r="252" spans="5:15" x14ac:dyDescent="0.45"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</row>
    <row r="253" spans="5:15" x14ac:dyDescent="0.45"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</row>
    <row r="254" spans="5:15" x14ac:dyDescent="0.45"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</row>
    <row r="255" spans="5:15" x14ac:dyDescent="0.45"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</row>
    <row r="256" spans="5:15" x14ac:dyDescent="0.45"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</row>
    <row r="257" spans="5:15" x14ac:dyDescent="0.45"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</row>
    <row r="258" spans="5:15" x14ac:dyDescent="0.45"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</row>
    <row r="259" spans="5:15" x14ac:dyDescent="0.45"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</row>
    <row r="260" spans="5:15" x14ac:dyDescent="0.45"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</row>
    <row r="261" spans="5:15" x14ac:dyDescent="0.45"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</row>
    <row r="262" spans="5:15" x14ac:dyDescent="0.45"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</row>
    <row r="263" spans="5:15" x14ac:dyDescent="0.45"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</row>
    <row r="264" spans="5:15" x14ac:dyDescent="0.45"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</row>
    <row r="265" spans="5:15" x14ac:dyDescent="0.45"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</row>
    <row r="266" spans="5:15" x14ac:dyDescent="0.45"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</row>
    <row r="267" spans="5:15" x14ac:dyDescent="0.45"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</row>
    <row r="268" spans="5:15" x14ac:dyDescent="0.45"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</row>
    <row r="269" spans="5:15" x14ac:dyDescent="0.45"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</row>
    <row r="270" spans="5:15" x14ac:dyDescent="0.45"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</row>
    <row r="271" spans="5:15" x14ac:dyDescent="0.45"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</row>
    <row r="272" spans="5:15" x14ac:dyDescent="0.45"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</row>
    <row r="273" spans="5:15" x14ac:dyDescent="0.45"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</row>
    <row r="274" spans="5:15" x14ac:dyDescent="0.45"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</row>
    <row r="275" spans="5:15" x14ac:dyDescent="0.45"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</row>
    <row r="276" spans="5:15" x14ac:dyDescent="0.45"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</row>
    <row r="277" spans="5:15" x14ac:dyDescent="0.45"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</row>
    <row r="278" spans="5:15" x14ac:dyDescent="0.45"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</row>
    <row r="279" spans="5:15" x14ac:dyDescent="0.45"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</row>
    <row r="280" spans="5:15" x14ac:dyDescent="0.45"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</row>
    <row r="281" spans="5:15" x14ac:dyDescent="0.45"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</row>
    <row r="282" spans="5:15" x14ac:dyDescent="0.45"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</row>
    <row r="283" spans="5:15" x14ac:dyDescent="0.45"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</row>
    <row r="284" spans="5:15" x14ac:dyDescent="0.45"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</row>
    <row r="285" spans="5:15" x14ac:dyDescent="0.45"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</row>
    <row r="286" spans="5:15" x14ac:dyDescent="0.45"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</row>
    <row r="287" spans="5:15" x14ac:dyDescent="0.45"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</row>
    <row r="288" spans="5:15" x14ac:dyDescent="0.45"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</row>
    <row r="289" spans="5:15" x14ac:dyDescent="0.45"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</row>
    <row r="290" spans="5:15" x14ac:dyDescent="0.45"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</row>
    <row r="291" spans="5:15" x14ac:dyDescent="0.45"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</row>
    <row r="292" spans="5:15" x14ac:dyDescent="0.45"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</row>
    <row r="293" spans="5:15" x14ac:dyDescent="0.45"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</row>
    <row r="294" spans="5:15" x14ac:dyDescent="0.45"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</row>
    <row r="295" spans="5:15" x14ac:dyDescent="0.45"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</row>
    <row r="296" spans="5:15" x14ac:dyDescent="0.45"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</row>
    <row r="297" spans="5:15" x14ac:dyDescent="0.45"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</row>
    <row r="298" spans="5:15" x14ac:dyDescent="0.45"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</row>
    <row r="299" spans="5:15" x14ac:dyDescent="0.45"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</row>
    <row r="300" spans="5:15" x14ac:dyDescent="0.45"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</row>
    <row r="301" spans="5:15" x14ac:dyDescent="0.45"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</row>
    <row r="302" spans="5:15" x14ac:dyDescent="0.45"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</row>
    <row r="303" spans="5:15" x14ac:dyDescent="0.45"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</row>
    <row r="304" spans="5:15" x14ac:dyDescent="0.45"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</row>
    <row r="305" spans="5:15" x14ac:dyDescent="0.45"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</row>
    <row r="306" spans="5:15" x14ac:dyDescent="0.45"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</row>
    <row r="307" spans="5:15" x14ac:dyDescent="0.45"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</row>
    <row r="308" spans="5:15" x14ac:dyDescent="0.45"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</row>
    <row r="309" spans="5:15" x14ac:dyDescent="0.45"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</row>
    <row r="310" spans="5:15" x14ac:dyDescent="0.45"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</row>
    <row r="311" spans="5:15" x14ac:dyDescent="0.45"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</row>
    <row r="312" spans="5:15" x14ac:dyDescent="0.45"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</row>
    <row r="313" spans="5:15" x14ac:dyDescent="0.45"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</row>
    <row r="314" spans="5:15" x14ac:dyDescent="0.45"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</row>
    <row r="315" spans="5:15" x14ac:dyDescent="0.45"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</row>
    <row r="316" spans="5:15" x14ac:dyDescent="0.45"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</row>
    <row r="317" spans="5:15" x14ac:dyDescent="0.45"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</row>
    <row r="318" spans="5:15" x14ac:dyDescent="0.45"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</row>
    <row r="319" spans="5:15" x14ac:dyDescent="0.45"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</row>
    <row r="320" spans="5:15" x14ac:dyDescent="0.45"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</row>
    <row r="321" spans="5:15" x14ac:dyDescent="0.45"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</row>
    <row r="322" spans="5:15" x14ac:dyDescent="0.45"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</row>
    <row r="323" spans="5:15" x14ac:dyDescent="0.45"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</row>
    <row r="324" spans="5:15" x14ac:dyDescent="0.45"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</row>
    <row r="325" spans="5:15" x14ac:dyDescent="0.45"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</row>
    <row r="326" spans="5:15" x14ac:dyDescent="0.45"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</row>
    <row r="327" spans="5:15" x14ac:dyDescent="0.45"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</row>
    <row r="328" spans="5:15" x14ac:dyDescent="0.45"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1D97-D17F-4D6F-9B7E-69660649354B}">
  <dimension ref="A26:V86"/>
  <sheetViews>
    <sheetView zoomScale="74" zoomScaleNormal="110" workbookViewId="0">
      <selection activeCell="Z165" sqref="Z165"/>
    </sheetView>
  </sheetViews>
  <sheetFormatPr defaultRowHeight="14.25" x14ac:dyDescent="0.45"/>
  <sheetData>
    <row r="26" spans="2:2" x14ac:dyDescent="0.45">
      <c r="B26">
        <v>35123</v>
      </c>
    </row>
    <row r="27" spans="2:2" x14ac:dyDescent="0.45">
      <c r="B27">
        <v>132130</v>
      </c>
    </row>
    <row r="28" spans="2:2" x14ac:dyDescent="0.45">
      <c r="B28">
        <f>SUM(B26:B27)</f>
        <v>167253</v>
      </c>
    </row>
    <row r="56" spans="10:22" x14ac:dyDescent="0.45">
      <c r="J56">
        <v>30</v>
      </c>
    </row>
    <row r="57" spans="10:22" x14ac:dyDescent="0.45">
      <c r="J57">
        <v>5.5</v>
      </c>
    </row>
    <row r="58" spans="10:22" x14ac:dyDescent="0.45">
      <c r="J58">
        <v>6.2</v>
      </c>
    </row>
    <row r="59" spans="10:22" x14ac:dyDescent="0.45">
      <c r="J59">
        <v>7.4</v>
      </c>
    </row>
    <row r="60" spans="10:22" x14ac:dyDescent="0.45">
      <c r="J60">
        <v>4.5</v>
      </c>
    </row>
    <row r="61" spans="10:22" x14ac:dyDescent="0.45">
      <c r="J61">
        <v>2</v>
      </c>
    </row>
    <row r="62" spans="10:22" x14ac:dyDescent="0.45">
      <c r="J62">
        <f>SUM(J56:J61)</f>
        <v>55.6</v>
      </c>
    </row>
    <row r="64" spans="10:22" x14ac:dyDescent="0.45">
      <c r="V64">
        <v>89.4</v>
      </c>
    </row>
    <row r="65" spans="22:22" x14ac:dyDescent="0.45">
      <c r="V65">
        <v>11.3</v>
      </c>
    </row>
    <row r="66" spans="22:22" x14ac:dyDescent="0.45">
      <c r="V66">
        <v>12</v>
      </c>
    </row>
    <row r="67" spans="22:22" x14ac:dyDescent="0.45">
      <c r="V67">
        <f>SUM(V64:V66)</f>
        <v>112.7</v>
      </c>
    </row>
    <row r="86" spans="1:1" x14ac:dyDescent="0.45">
      <c r="A86" t="s"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4C61-EA01-4A1C-AA06-D3297A410745}">
  <dimension ref="A2:G58"/>
  <sheetViews>
    <sheetView zoomScaleNormal="100" workbookViewId="0">
      <selection activeCell="C21" sqref="C21"/>
    </sheetView>
  </sheetViews>
  <sheetFormatPr defaultRowHeight="14.25" x14ac:dyDescent="0.45"/>
  <cols>
    <col min="1" max="1" width="35.59765625" bestFit="1" customWidth="1"/>
    <col min="2" max="2" width="10.19921875" customWidth="1"/>
    <col min="3" max="5" width="10.19921875" bestFit="1" customWidth="1"/>
    <col min="6" max="6" width="10.6640625" bestFit="1" customWidth="1"/>
  </cols>
  <sheetData>
    <row r="2" spans="1:7" x14ac:dyDescent="0.45">
      <c r="A2" t="s">
        <v>11</v>
      </c>
      <c r="B2" s="1"/>
      <c r="C2" s="1" t="s">
        <v>0</v>
      </c>
      <c r="D2" s="1" t="s">
        <v>1</v>
      </c>
      <c r="E2" t="s">
        <v>2</v>
      </c>
      <c r="G2" s="1" t="s">
        <v>23</v>
      </c>
    </row>
    <row r="3" spans="1:7" x14ac:dyDescent="0.45">
      <c r="A3" t="s">
        <v>3</v>
      </c>
      <c r="B3" s="2"/>
      <c r="C3" s="2">
        <v>129888</v>
      </c>
      <c r="D3" s="2">
        <v>145367</v>
      </c>
      <c r="E3" s="2">
        <v>163995</v>
      </c>
      <c r="G3" s="8">
        <f>(E3/C3)^(1/(3-1))-1</f>
        <v>0.12364930824663167</v>
      </c>
    </row>
    <row r="4" spans="1:7" x14ac:dyDescent="0.45">
      <c r="A4" t="s">
        <v>4</v>
      </c>
      <c r="B4" s="2"/>
      <c r="C4" s="2">
        <v>-72979</v>
      </c>
      <c r="D4" s="2">
        <v>-83500</v>
      </c>
      <c r="E4" s="2">
        <v>-90621</v>
      </c>
    </row>
    <row r="5" spans="1:7" s="5" customFormat="1" x14ac:dyDescent="0.45">
      <c r="A5" s="5" t="s">
        <v>7</v>
      </c>
      <c r="B5" s="6"/>
      <c r="C5" s="6">
        <f>SUM(C3:C4)</f>
        <v>56909</v>
      </c>
      <c r="D5" s="6">
        <f t="shared" ref="D5:E5" si="0">SUM(D3:D4)</f>
        <v>61867</v>
      </c>
      <c r="E5" s="6">
        <f t="shared" si="0"/>
        <v>73374</v>
      </c>
      <c r="G5" s="5">
        <f>(E5/C5)^(1/(COLUMNS(C5:E5)-1))-1</f>
        <v>0.1354829582327417</v>
      </c>
    </row>
    <row r="7" spans="1:7" x14ac:dyDescent="0.45">
      <c r="A7" t="s">
        <v>20</v>
      </c>
      <c r="B7" s="2"/>
      <c r="C7" s="2">
        <v>-10270</v>
      </c>
      <c r="D7" s="2">
        <v>-11192</v>
      </c>
      <c r="E7" s="2">
        <v>-13532</v>
      </c>
    </row>
    <row r="8" spans="1:7" x14ac:dyDescent="0.45">
      <c r="A8" t="s">
        <v>18</v>
      </c>
      <c r="B8" t="s">
        <v>15</v>
      </c>
      <c r="C8" s="2">
        <v>-9216</v>
      </c>
      <c r="D8" s="2">
        <v>-9119</v>
      </c>
      <c r="E8" s="2">
        <v>-9116</v>
      </c>
    </row>
    <row r="9" spans="1:7" x14ac:dyDescent="0.45">
      <c r="A9" t="s">
        <v>19</v>
      </c>
      <c r="C9" s="2">
        <v>-5468</v>
      </c>
      <c r="D9" s="2">
        <v>-6255</v>
      </c>
      <c r="E9" s="2">
        <v>-7663</v>
      </c>
    </row>
    <row r="10" spans="1:7" x14ac:dyDescent="0.45">
      <c r="A10" t="s">
        <v>22</v>
      </c>
      <c r="C10" s="2">
        <f>-51126-C8-C9-C7</f>
        <v>-26172</v>
      </c>
      <c r="D10" s="2">
        <f>-55515-D8-D9-D7</f>
        <v>-28949</v>
      </c>
      <c r="E10" s="2">
        <f>-67932-E8-E9-E7</f>
        <v>-37621</v>
      </c>
    </row>
    <row r="11" spans="1:7" x14ac:dyDescent="0.45">
      <c r="A11" t="s">
        <v>5</v>
      </c>
      <c r="C11">
        <v>-542</v>
      </c>
      <c r="D11" s="2">
        <v>-2508</v>
      </c>
      <c r="E11">
        <v>-804</v>
      </c>
    </row>
    <row r="12" spans="1:7" s="5" customFormat="1" x14ac:dyDescent="0.45">
      <c r="A12" s="5" t="s">
        <v>6</v>
      </c>
      <c r="C12" s="6">
        <f>C5+SUM(C7:C11)</f>
        <v>5241</v>
      </c>
      <c r="D12" s="6">
        <f>D5+SUM(D7:D11)</f>
        <v>3844</v>
      </c>
      <c r="E12" s="6">
        <f>E5+SUM(E7:E11)</f>
        <v>4638</v>
      </c>
      <c r="G12" s="5">
        <f>(E12/C12)^(1/(COLUMNS(C12:E12)-1))-1</f>
        <v>-5.9284516410683108E-2</v>
      </c>
    </row>
    <row r="14" spans="1:7" x14ac:dyDescent="0.45">
      <c r="A14" t="s">
        <v>8</v>
      </c>
      <c r="C14" s="2">
        <v>-24698</v>
      </c>
      <c r="D14" s="2">
        <v>-25741</v>
      </c>
      <c r="E14" s="2">
        <v>-15588</v>
      </c>
    </row>
    <row r="15" spans="1:7" x14ac:dyDescent="0.45">
      <c r="A15" s="4" t="s">
        <v>13</v>
      </c>
      <c r="B15" t="s">
        <v>14</v>
      </c>
      <c r="C15" s="2">
        <v>5500</v>
      </c>
      <c r="D15" s="2">
        <v>6200</v>
      </c>
      <c r="E15" s="2">
        <v>7400</v>
      </c>
    </row>
    <row r="16" spans="1:7" x14ac:dyDescent="0.45">
      <c r="A16" s="4" t="s">
        <v>17</v>
      </c>
      <c r="B16" t="s">
        <v>14</v>
      </c>
      <c r="C16" s="2">
        <v>11300</v>
      </c>
      <c r="D16" s="2">
        <v>12000</v>
      </c>
      <c r="E16" s="2"/>
    </row>
    <row r="17" spans="1:7" x14ac:dyDescent="0.45">
      <c r="A17" s="4"/>
      <c r="B17" s="2"/>
      <c r="C17" s="2"/>
      <c r="D17" s="2"/>
      <c r="E17" s="2"/>
    </row>
    <row r="18" spans="1:7" x14ac:dyDescent="0.45">
      <c r="A18" s="14" t="s">
        <v>46</v>
      </c>
      <c r="C18" s="2">
        <f>C12+C14</f>
        <v>-19457</v>
      </c>
      <c r="D18" s="2">
        <f t="shared" ref="D18:E18" si="1">D12+D14</f>
        <v>-21897</v>
      </c>
      <c r="E18" s="2">
        <f t="shared" si="1"/>
        <v>-10950</v>
      </c>
    </row>
    <row r="19" spans="1:7" x14ac:dyDescent="0.45">
      <c r="A19" t="s">
        <v>9</v>
      </c>
      <c r="C19">
        <v>-464</v>
      </c>
      <c r="D19">
        <v>-286</v>
      </c>
      <c r="E19">
        <v>-752</v>
      </c>
    </row>
    <row r="21" spans="1:7" x14ac:dyDescent="0.45">
      <c r="A21" t="s">
        <v>10</v>
      </c>
      <c r="B21" s="2"/>
      <c r="C21" s="2">
        <f>C18+C19</f>
        <v>-19921</v>
      </c>
      <c r="D21" s="2">
        <f t="shared" ref="D21:E21" si="2">D18+D19</f>
        <v>-22183</v>
      </c>
      <c r="E21" s="2">
        <f t="shared" si="2"/>
        <v>-11702</v>
      </c>
    </row>
    <row r="23" spans="1:7" s="5" customFormat="1" x14ac:dyDescent="0.45">
      <c r="A23" s="5" t="s">
        <v>12</v>
      </c>
      <c r="C23" s="6">
        <f>C12-C8-C9</f>
        <v>19925</v>
      </c>
      <c r="D23" s="6">
        <f>D12-D8-D9</f>
        <v>19218</v>
      </c>
      <c r="E23" s="6">
        <f>E12-E8-E9</f>
        <v>21417</v>
      </c>
      <c r="G23" s="5">
        <f>(E23/C23)^(1/(COLUMNS(C23:E23)-1))-1</f>
        <v>3.6764584180657867E-2</v>
      </c>
    </row>
    <row r="24" spans="1:7" s="5" customFormat="1" x14ac:dyDescent="0.45">
      <c r="A24" s="9" t="s">
        <v>25</v>
      </c>
      <c r="C24" s="10">
        <f>C23/C3</f>
        <v>0.15340139196846514</v>
      </c>
      <c r="D24" s="10">
        <f>D23/D3</f>
        <v>0.13220331987314865</v>
      </c>
      <c r="E24" s="10">
        <f>E23/E3</f>
        <v>0.13059544498307876</v>
      </c>
    </row>
    <row r="25" spans="1:7" x14ac:dyDescent="0.45">
      <c r="A25" t="s">
        <v>24</v>
      </c>
      <c r="C25" s="2">
        <f>C23-C11</f>
        <v>20467</v>
      </c>
      <c r="D25" s="2">
        <f>D23-D11+41</f>
        <v>21767</v>
      </c>
      <c r="E25" s="2">
        <f>E23-E11+47</f>
        <v>22268</v>
      </c>
    </row>
    <row r="26" spans="1:7" x14ac:dyDescent="0.45">
      <c r="A26" s="11" t="s">
        <v>25</v>
      </c>
      <c r="B26" s="8"/>
      <c r="C26" s="12">
        <f>C25/C3</f>
        <v>0.15757421778763242</v>
      </c>
      <c r="D26" s="12">
        <f>D25/D3</f>
        <v>0.14973824870844138</v>
      </c>
      <c r="E26" s="12">
        <f>E25/E3</f>
        <v>0.13578462758010915</v>
      </c>
    </row>
    <row r="27" spans="1:7" x14ac:dyDescent="0.45">
      <c r="A27" s="13" t="s">
        <v>26</v>
      </c>
      <c r="B27" s="8"/>
      <c r="C27" s="2">
        <f>C25-C7</f>
        <v>30737</v>
      </c>
      <c r="D27" s="2">
        <f>D25-D7</f>
        <v>32959</v>
      </c>
      <c r="E27" s="2">
        <f>E25-E7</f>
        <v>35800</v>
      </c>
    </row>
    <row r="28" spans="1:7" x14ac:dyDescent="0.45">
      <c r="A28" s="11" t="s">
        <v>25</v>
      </c>
      <c r="C28" s="12">
        <f>C27/C3</f>
        <v>0.23664233801428924</v>
      </c>
      <c r="D28" s="12">
        <f>D27/D3</f>
        <v>0.22672958787069969</v>
      </c>
      <c r="E28" s="12">
        <f>E27/E3</f>
        <v>0.21829933839446325</v>
      </c>
    </row>
    <row r="29" spans="1:7" x14ac:dyDescent="0.45">
      <c r="A29" s="11"/>
    </row>
    <row r="30" spans="1:7" x14ac:dyDescent="0.45">
      <c r="A30" s="11"/>
    </row>
    <row r="31" spans="1:7" x14ac:dyDescent="0.45">
      <c r="A31" s="11"/>
    </row>
    <row r="32" spans="1:7" x14ac:dyDescent="0.45">
      <c r="A32" t="s">
        <v>21</v>
      </c>
    </row>
    <row r="33" spans="1:6" x14ac:dyDescent="0.45">
      <c r="A33" s="3" t="s">
        <v>20</v>
      </c>
      <c r="C33" s="7">
        <f t="shared" ref="C33:E37" si="3">-C7/C$5</f>
        <v>0.18046354706636911</v>
      </c>
      <c r="D33" s="7">
        <f t="shared" si="3"/>
        <v>0.18090419771445196</v>
      </c>
      <c r="E33" s="7">
        <f t="shared" si="3"/>
        <v>0.1844250006814403</v>
      </c>
    </row>
    <row r="34" spans="1:6" x14ac:dyDescent="0.45">
      <c r="A34" s="3" t="s">
        <v>18</v>
      </c>
      <c r="C34" s="7">
        <f t="shared" si="3"/>
        <v>0.16194275070726949</v>
      </c>
      <c r="D34" s="7">
        <f t="shared" si="3"/>
        <v>0.14739683514636237</v>
      </c>
      <c r="E34" s="7">
        <f t="shared" si="3"/>
        <v>0.12424019407419522</v>
      </c>
    </row>
    <row r="35" spans="1:6" x14ac:dyDescent="0.45">
      <c r="A35" s="3" t="s">
        <v>19</v>
      </c>
      <c r="C35" s="7">
        <f t="shared" si="3"/>
        <v>9.6083220580224574E-2</v>
      </c>
      <c r="D35" s="7">
        <f t="shared" si="3"/>
        <v>0.10110398112079137</v>
      </c>
      <c r="E35" s="7">
        <f t="shared" si="3"/>
        <v>0.1044375391828168</v>
      </c>
    </row>
    <row r="36" spans="1:6" x14ac:dyDescent="0.45">
      <c r="A36" s="3" t="s">
        <v>16</v>
      </c>
      <c r="C36" s="7">
        <f t="shared" si="3"/>
        <v>0.45989210845384737</v>
      </c>
      <c r="D36" s="7">
        <f t="shared" si="3"/>
        <v>0.46792312541419495</v>
      </c>
      <c r="E36" s="7">
        <f t="shared" si="3"/>
        <v>0.51272930465832589</v>
      </c>
    </row>
    <row r="37" spans="1:6" x14ac:dyDescent="0.45">
      <c r="A37" s="3" t="s">
        <v>5</v>
      </c>
      <c r="C37" s="7">
        <f t="shared" si="3"/>
        <v>9.5239768753624214E-3</v>
      </c>
      <c r="D37" s="7">
        <f t="shared" si="3"/>
        <v>4.0538574684403639E-2</v>
      </c>
      <c r="E37" s="7">
        <f t="shared" si="3"/>
        <v>1.0957559898601685E-2</v>
      </c>
    </row>
    <row r="38" spans="1:6" x14ac:dyDescent="0.45">
      <c r="C38" s="7"/>
      <c r="D38" s="7"/>
      <c r="E38" s="7"/>
    </row>
    <row r="39" spans="1:6" x14ac:dyDescent="0.45">
      <c r="A39" s="14" t="s">
        <v>27</v>
      </c>
    </row>
    <row r="41" spans="1:6" x14ac:dyDescent="0.45">
      <c r="A41" s="14" t="s">
        <v>28</v>
      </c>
    </row>
    <row r="42" spans="1:6" x14ac:dyDescent="0.45">
      <c r="A42" s="4" t="s">
        <v>29</v>
      </c>
      <c r="C42" s="2">
        <v>11972</v>
      </c>
      <c r="D42" s="2">
        <v>10268</v>
      </c>
      <c r="E42" s="2">
        <v>12241</v>
      </c>
    </row>
    <row r="43" spans="1:6" x14ac:dyDescent="0.45">
      <c r="A43" s="4" t="s">
        <v>30</v>
      </c>
      <c r="C43" s="2">
        <v>232341</v>
      </c>
      <c r="D43" s="2">
        <v>231260</v>
      </c>
      <c r="E43" s="2">
        <v>228730</v>
      </c>
    </row>
    <row r="44" spans="1:6" x14ac:dyDescent="0.45">
      <c r="A44" s="4" t="s">
        <v>31</v>
      </c>
      <c r="C44" s="2">
        <v>18036</v>
      </c>
      <c r="D44" s="2">
        <v>16929</v>
      </c>
      <c r="E44" s="2">
        <v>20838</v>
      </c>
    </row>
    <row r="45" spans="1:6" x14ac:dyDescent="0.45">
      <c r="A45" s="4" t="s">
        <v>32</v>
      </c>
      <c r="C45" s="2">
        <f>SUM(C43:C44)</f>
        <v>250377</v>
      </c>
      <c r="D45" s="2">
        <f t="shared" ref="D45:E45" si="4">SUM(D43:D44)</f>
        <v>248189</v>
      </c>
      <c r="E45" s="2">
        <f t="shared" si="4"/>
        <v>249568</v>
      </c>
    </row>
    <row r="47" spans="1:6" x14ac:dyDescent="0.45">
      <c r="A47" t="s">
        <v>34</v>
      </c>
      <c r="C47" s="2">
        <f>C45-C49</f>
        <v>250244</v>
      </c>
      <c r="D47" s="2">
        <f t="shared" ref="D47:E47" si="5">D45-D49</f>
        <v>157368</v>
      </c>
      <c r="E47" s="2">
        <f t="shared" si="5"/>
        <v>170767</v>
      </c>
      <c r="F47" s="2"/>
    </row>
    <row r="49" spans="1:6" x14ac:dyDescent="0.45">
      <c r="A49" t="s">
        <v>33</v>
      </c>
      <c r="C49" s="2">
        <v>133</v>
      </c>
      <c r="D49" s="2">
        <v>90821</v>
      </c>
      <c r="E49" s="2">
        <v>78801</v>
      </c>
    </row>
    <row r="50" spans="1:6" x14ac:dyDescent="0.45">
      <c r="C50" s="2"/>
      <c r="D50" s="2"/>
      <c r="E50" s="2"/>
    </row>
    <row r="51" spans="1:6" x14ac:dyDescent="0.45">
      <c r="C51" s="1" t="s">
        <v>0</v>
      </c>
      <c r="D51" s="1" t="s">
        <v>1</v>
      </c>
      <c r="E51" t="s">
        <v>2</v>
      </c>
      <c r="F51" s="1">
        <v>41886</v>
      </c>
    </row>
    <row r="52" spans="1:6" x14ac:dyDescent="0.45">
      <c r="A52" t="s">
        <v>35</v>
      </c>
      <c r="B52" s="2">
        <v>30000</v>
      </c>
      <c r="C52" s="2">
        <v>89400</v>
      </c>
      <c r="D52" s="2"/>
      <c r="E52" s="2"/>
    </row>
    <row r="53" spans="1:6" x14ac:dyDescent="0.45">
      <c r="A53" t="s">
        <v>36</v>
      </c>
      <c r="C53" s="2">
        <v>5500</v>
      </c>
      <c r="D53" s="2">
        <v>6200</v>
      </c>
      <c r="E53" s="2">
        <v>7400</v>
      </c>
    </row>
    <row r="54" spans="1:6" x14ac:dyDescent="0.45">
      <c r="A54" t="s">
        <v>37</v>
      </c>
      <c r="C54" s="2">
        <v>11300</v>
      </c>
      <c r="D54" s="2">
        <v>12000</v>
      </c>
    </row>
    <row r="55" spans="1:6" x14ac:dyDescent="0.45">
      <c r="A55" t="s">
        <v>38</v>
      </c>
      <c r="F55" s="2">
        <f>B52+C53+D53+E53</f>
        <v>49100</v>
      </c>
    </row>
    <row r="56" spans="1:6" x14ac:dyDescent="0.45">
      <c r="F56" s="2">
        <f>C52+C54+D54</f>
        <v>112700</v>
      </c>
    </row>
    <row r="57" spans="1:6" x14ac:dyDescent="0.45">
      <c r="F57" s="2">
        <f>F55+F56</f>
        <v>161800</v>
      </c>
    </row>
    <row r="58" spans="1:6" x14ac:dyDescent="0.45">
      <c r="F58" s="2">
        <f>F57-C54-D54</f>
        <v>138500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 Forma</vt:lpstr>
      <vt:lpstr>Snapshot</vt:lpstr>
      <vt:lpstr>Historical</vt:lpstr>
      <vt:lpstr>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</dc:creator>
  <cp:lastModifiedBy>Christopher Ho</cp:lastModifiedBy>
  <dcterms:created xsi:type="dcterms:W3CDTF">2020-04-04T11:52:35Z</dcterms:created>
  <dcterms:modified xsi:type="dcterms:W3CDTF">2020-04-08T21:57:42Z</dcterms:modified>
</cp:coreProperties>
</file>