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24226"/>
  <mc:AlternateContent xmlns:mc="http://schemas.openxmlformats.org/markup-compatibility/2006">
    <mc:Choice Requires="x15">
      <x15ac:absPath xmlns:x15ac="http://schemas.microsoft.com/office/spreadsheetml/2010/11/ac" url="E:\SiLk\"/>
    </mc:Choice>
  </mc:AlternateContent>
  <xr:revisionPtr revIDLastSave="0" documentId="8_{276304A0-C8C6-46D6-9E37-97B7D8C512DE}" xr6:coauthVersionLast="45" xr6:coauthVersionMax="45" xr10:uidLastSave="{00000000-0000-0000-0000-000000000000}"/>
  <bookViews>
    <workbookView xWindow="-120" yWindow="-120" windowWidth="29040" windowHeight="15840" tabRatio="298" activeTab="1" xr2:uid="{00000000-000D-0000-FFFF-FFFF00000000}"/>
  </bookViews>
  <sheets>
    <sheet name="Documentation" sheetId="1" r:id="rId1"/>
    <sheet name="SiLK Provisioning Tool" sheetId="5" r:id="rId2"/>
    <sheet name="Calculations" sheetId="6" r:id="rId3"/>
  </sheets>
  <definedNames>
    <definedName name="byt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7" i="6" l="1"/>
  <c r="B75" i="6"/>
  <c r="B69" i="6"/>
  <c r="B67" i="6"/>
  <c r="B63" i="6"/>
  <c r="B56" i="6"/>
  <c r="B52" i="6"/>
  <c r="L42" i="6"/>
  <c r="L35" i="6"/>
  <c r="L45" i="6" s="1"/>
  <c r="B35" i="6"/>
  <c r="B58" i="6" s="1"/>
  <c r="L34" i="6"/>
  <c r="L44" i="6" s="1"/>
  <c r="L33" i="6"/>
  <c r="L43" i="6" s="1"/>
  <c r="L30" i="6"/>
  <c r="K30" i="6"/>
  <c r="B29" i="6"/>
  <c r="B24" i="6"/>
  <c r="B18" i="6"/>
  <c r="B13" i="6"/>
  <c r="B12" i="6"/>
  <c r="N10" i="6"/>
  <c r="M10" i="6"/>
  <c r="L10" i="6"/>
  <c r="C10" i="6"/>
  <c r="N9" i="6"/>
  <c r="M9" i="6"/>
  <c r="L9" i="6"/>
  <c r="C9" i="6"/>
  <c r="N8" i="6"/>
  <c r="M8" i="6"/>
  <c r="L8" i="6"/>
  <c r="N7" i="6"/>
  <c r="M7" i="6"/>
  <c r="L7" i="6"/>
  <c r="C7" i="6"/>
  <c r="D7" i="6" s="1"/>
  <c r="N6" i="6"/>
  <c r="M6" i="6"/>
  <c r="L6" i="6"/>
  <c r="M5" i="6"/>
  <c r="C5" i="6"/>
  <c r="B5" i="6"/>
  <c r="M4" i="6"/>
  <c r="M3" i="6"/>
  <c r="B3" i="6"/>
  <c r="M2" i="6"/>
  <c r="B2" i="6"/>
  <c r="L1" i="6"/>
  <c r="B1" i="6"/>
  <c r="D1" i="6" s="1"/>
  <c r="E17" i="6" l="1"/>
  <c r="D5" i="6"/>
  <c r="B51" i="6" s="1"/>
  <c r="D2" i="6"/>
  <c r="B14" i="6" s="1"/>
  <c r="B28" i="6" s="1"/>
  <c r="D10" i="6"/>
  <c r="D9" i="6"/>
  <c r="E7" i="6"/>
  <c r="B37" i="6"/>
  <c r="B57" i="6"/>
  <c r="E15" i="6"/>
  <c r="B36" i="6"/>
  <c r="B46" i="6"/>
  <c r="B45" i="6"/>
  <c r="B12" i="5"/>
  <c r="B4" i="6" s="1"/>
  <c r="B50" i="6" l="1"/>
  <c r="B25" i="6"/>
  <c r="B30" i="6"/>
  <c r="B31" i="6" s="1"/>
  <c r="B28" i="5" s="1"/>
  <c r="B38" i="6"/>
  <c r="B23" i="6"/>
  <c r="B47" i="6"/>
  <c r="B59" i="6" l="1"/>
  <c r="B61" i="6" s="1"/>
  <c r="B65" i="6" s="1"/>
  <c r="B42" i="6"/>
  <c r="B43" i="6" s="1"/>
  <c r="B44" i="6" s="1"/>
  <c r="B53" i="6" s="1"/>
  <c r="B26" i="6"/>
  <c r="B27" i="5" s="1"/>
  <c r="B39" i="6"/>
  <c r="B60" i="6"/>
  <c r="B62" i="6" s="1"/>
  <c r="B48" i="6"/>
  <c r="B78" i="6" l="1"/>
  <c r="B70" i="6"/>
  <c r="B73" i="6"/>
  <c r="B40" i="6"/>
  <c r="B74" i="6"/>
  <c r="B66" i="6"/>
  <c r="B68" i="6" s="1"/>
  <c r="B71" i="6" l="1"/>
  <c r="B10" i="6" s="1"/>
  <c r="B24" i="5" s="1"/>
  <c r="B76" i="6"/>
  <c r="B79" i="6" s="1"/>
  <c r="B9" i="6" s="1"/>
  <c r="B23" i="5" s="1"/>
  <c r="B41" i="6"/>
  <c r="B49" i="6" s="1"/>
  <c r="B54" i="6" l="1"/>
  <c r="B7" i="6" s="1"/>
  <c r="B20" i="5" s="1"/>
</calcChain>
</file>

<file path=xl/sharedStrings.xml><?xml version="1.0" encoding="utf-8"?>
<sst xmlns="http://schemas.openxmlformats.org/spreadsheetml/2006/main" count="224" uniqueCount="185">
  <si>
    <t>Flow Counts</t>
  </si>
  <si>
    <t>SSH/TLS overhead:</t>
  </si>
  <si>
    <t>10BaseT</t>
  </si>
  <si>
    <t>Flows/</t>
  </si>
  <si>
    <t>sec</t>
  </si>
  <si>
    <t>100BaseT</t>
  </si>
  <si>
    <t>Peak Estimate Flows/sec:</t>
  </si>
  <si>
    <t>1000BaseT</t>
  </si>
  <si>
    <t>Avg. Estimated Flows/sec:</t>
  </si>
  <si>
    <t>FDDI</t>
  </si>
  <si>
    <t>OC1</t>
  </si>
  <si>
    <t>True/False table for validity lists</t>
  </si>
  <si>
    <t>Flow collector</t>
  </si>
  <si>
    <t>fc/rwfp</t>
  </si>
  <si>
    <t>files/hour</t>
  </si>
  <si>
    <t>Repository files/sensor:</t>
  </si>
  <si>
    <t>(in, out, inweb, outweb, int2int, ext2ext)</t>
  </si>
  <si>
    <t>OC3/STM1</t>
  </si>
  <si>
    <t>flowcap</t>
  </si>
  <si>
    <t>Percentage web files:</t>
  </si>
  <si>
    <t>OC12/STM4</t>
  </si>
  <si>
    <t>Flow source: 0=NFv5, 1=IPFIX</t>
  </si>
  <si>
    <t>(user input)</t>
  </si>
  <si>
    <t>OC48/STM16</t>
  </si>
  <si>
    <t>Number of hours in a timespan</t>
  </si>
  <si>
    <t>Web record size:</t>
  </si>
  <si>
    <t>(from record size table)</t>
  </si>
  <si>
    <t>OC96</t>
  </si>
  <si>
    <t>Nonweb record size:</t>
  </si>
  <si>
    <t>OC192/STM64</t>
  </si>
  <si>
    <t>week(s)</t>
  </si>
  <si>
    <t>Repository record size:</t>
  </si>
  <si>
    <t>OC768/STM256</t>
  </si>
  <si>
    <t>month(s)</t>
  </si>
  <si>
    <t>Size of records on disk (per sec):</t>
  </si>
  <si>
    <t>(bytes/rec * recs/sec)</t>
  </si>
  <si>
    <t>OC3072/STM1024</t>
  </si>
  <si>
    <t>Size after compression (per sec):</t>
  </si>
  <si>
    <t>Bytes in records/hour:</t>
  </si>
  <si>
    <t>10 Gbit</t>
  </si>
  <si>
    <t>Web header size (per file):</t>
  </si>
  <si>
    <t>(from header size table)</t>
  </si>
  <si>
    <t>100 Gbit</t>
  </si>
  <si>
    <t>Number of seconds in a timespan</t>
  </si>
  <si>
    <t>Nonweb header size (per file):</t>
  </si>
  <si>
    <t>Hourly header (per file):</t>
  </si>
  <si>
    <t>min</t>
  </si>
  <si>
    <t>Total hourly file overhead:</t>
  </si>
  <si>
    <t>hour</t>
  </si>
  <si>
    <t>(size for recs + headers)</t>
  </si>
  <si>
    <t>day</t>
  </si>
  <si>
    <t>week</t>
  </si>
  <si>
    <t>Size on disk of all files:</t>
  </si>
  <si>
    <t>month</t>
  </si>
  <si>
    <t>year</t>
  </si>
  <si>
    <t>Rwflowpack:1 flowcap:0</t>
  </si>
  <si>
    <t>Flowcap record size:</t>
  </si>
  <si>
    <t>Flowcap header size:</t>
  </si>
  <si>
    <t>Rwflowpack record size:</t>
  </si>
  <si>
    <t>Rwflowpack header size:</t>
  </si>
  <si>
    <t>Network record size:</t>
  </si>
  <si>
    <t>Network header size:</t>
  </si>
  <si>
    <t>Files/hour:</t>
  </si>
  <si>
    <t>(from flow handler table)</t>
  </si>
  <si>
    <t>(record size only)</t>
  </si>
  <si>
    <t>Avg. bytes/sec:</t>
  </si>
  <si>
    <t>Peak Size of network bytes/sec:</t>
  </si>
  <si>
    <t>Peak bytes/sec:</t>
  </si>
  <si>
    <t>INPUTS</t>
  </si>
  <si>
    <t>Connection:</t>
  </si>
  <si>
    <t>(bytes/sec)</t>
  </si>
  <si>
    <t>Link Type</t>
  </si>
  <si>
    <t>bps</t>
  </si>
  <si>
    <t>bytes</t>
  </si>
  <si>
    <t>1 Gbit</t>
  </si>
  <si>
    <t>Fields with</t>
  </si>
  <si>
    <t>double borders</t>
  </si>
  <si>
    <t>have drop-down menus.</t>
  </si>
  <si>
    <t>Bandwidth Usage:</t>
  </si>
  <si>
    <t>KB</t>
  </si>
  <si>
    <t>KiB/s</t>
  </si>
  <si>
    <t>Bandwidth utilization:</t>
  </si>
  <si>
    <t>single borders</t>
  </si>
  <si>
    <t>are standard input fields.</t>
  </si>
  <si>
    <t>IPV6:</t>
  </si>
  <si>
    <t>MB</t>
  </si>
  <si>
    <t>MiB/s</t>
  </si>
  <si>
    <t>Flow source:</t>
  </si>
  <si>
    <t>Netflow v5</t>
  </si>
  <si>
    <t>Compression:</t>
  </si>
  <si>
    <t>GB</t>
  </si>
  <si>
    <t>GiB/s</t>
  </si>
  <si>
    <t>Flow collection tool:</t>
  </si>
  <si>
    <t>rwflowpack</t>
  </si>
  <si>
    <t>Time period flows:</t>
  </si>
  <si>
    <t>(hours)</t>
  </si>
  <si>
    <t>TB</t>
  </si>
  <si>
    <t>TiB/s</t>
  </si>
  <si>
    <t>bits</t>
  </si>
  <si>
    <t>Time Period</t>
  </si>
  <si>
    <t>Flows space on disk:</t>
  </si>
  <si>
    <t>Kbit</t>
  </si>
  <si>
    <t>Flow repository storage requirement:</t>
  </si>
  <si>
    <t>year(s)</t>
  </si>
  <si>
    <t>ISDN Single</t>
  </si>
  <si>
    <t>Mbit</t>
  </si>
  <si>
    <t>Peak Bandwidth to storage center:</t>
  </si>
  <si>
    <t>ISDN Dual</t>
  </si>
  <si>
    <t>Gbit</t>
  </si>
  <si>
    <t>Tweaks</t>
  </si>
  <si>
    <t>Avg. Bandwidth to storage center:</t>
  </si>
  <si>
    <t>1 ch FR</t>
  </si>
  <si>
    <t>Tbit</t>
  </si>
  <si>
    <t>Store IPv6:</t>
  </si>
  <si>
    <t>2 ch FR</t>
  </si>
  <si>
    <t>Use record compression:</t>
  </si>
  <si>
    <t>Web traffic percentage:</t>
  </si>
  <si>
    <t>4 ch FR</t>
  </si>
  <si>
    <t>Used to map to /0 or /1 column of tables below</t>
  </si>
  <si>
    <t>Percentage web traffic:</t>
  </si>
  <si>
    <t>8 ch FR</t>
  </si>
  <si>
    <t>Standard deviations over mean:</t>
  </si>
  <si>
    <t>Bandwidth (bidirectional):</t>
  </si>
  <si>
    <t>T1 FR</t>
  </si>
  <si>
    <t>Netflow v9</t>
  </si>
  <si>
    <t>Peak Flow factor (mean):</t>
  </si>
  <si>
    <t>per</t>
  </si>
  <si>
    <t>Mbit/s</t>
  </si>
  <si>
    <t>DS0</t>
  </si>
  <si>
    <t>IPFIX</t>
  </si>
  <si>
    <t>OUTPUTS</t>
  </si>
  <si>
    <t>Peak Flow factor (std dev):</t>
  </si>
  <si>
    <t>DS1/T1</t>
  </si>
  <si>
    <t>DS2/T2</t>
  </si>
  <si>
    <t>Record sizes for web, nonweb, and flowcap.  /0 is split /1 is augmented</t>
  </si>
  <si>
    <t>Disk space</t>
  </si>
  <si>
    <t>DS3/T3</t>
  </si>
  <si>
    <t>IPV4/0</t>
  </si>
  <si>
    <t>IPV4/1</t>
  </si>
  <si>
    <t>IPV6/0</t>
  </si>
  <si>
    <t>IPV6/1</t>
  </si>
  <si>
    <t>Flow repository disk space</t>
  </si>
  <si>
    <t>Avg. Flow factor (mean):</t>
  </si>
  <si>
    <t>T4</t>
  </si>
  <si>
    <t>Web</t>
  </si>
  <si>
    <t>Avg. Flow factor (std dev):</t>
  </si>
  <si>
    <t>E1</t>
  </si>
  <si>
    <t>Nonweb</t>
  </si>
  <si>
    <t>Bandwidth to data center</t>
  </si>
  <si>
    <t>E2</t>
  </si>
  <si>
    <t>Flowcap</t>
  </si>
  <si>
    <t>Peak Estimate</t>
  </si>
  <si>
    <t>E3</t>
  </si>
  <si>
    <t>Average Estimate</t>
  </si>
  <si>
    <t>Compression Factor:</t>
  </si>
  <si>
    <t>Constant values are highlighted in yellow.</t>
  </si>
  <si>
    <t>E4</t>
  </si>
  <si>
    <t>Header sizes for web, nonweb, and flowcap.  /0 is split /1 is augmented</t>
  </si>
  <si>
    <t>E5</t>
  </si>
  <si>
    <t>(bits/sec)</t>
  </si>
  <si>
    <t>Variable parameters are highlighted in green.</t>
  </si>
  <si>
    <t>User input parameters are highlighted in blue</t>
  </si>
  <si>
    <t>Bidirectional traffic ratio:</t>
  </si>
  <si>
    <t>Number of hours in the time period:</t>
  </si>
  <si>
    <t>Size all files / week / sensor:</t>
  </si>
  <si>
    <t>Number of weeks in the time period:</t>
  </si>
  <si>
    <t>Storage Standard Deviations</t>
  </si>
  <si>
    <t>Storage (std dev)</t>
  </si>
  <si>
    <t>Estimated Flows/sec (std dev)</t>
  </si>
  <si>
    <t>Flows/sec Standard Deviations</t>
  </si>
  <si>
    <t>Avg. Flow Counts to Data Center</t>
  </si>
  <si>
    <t>Size of network b/s Standard Dev.:</t>
  </si>
  <si>
    <t>Avg. Size of network bytes/hr:</t>
  </si>
  <si>
    <t>Header Size per hr</t>
  </si>
  <si>
    <t>SSH/TLS Multiplier</t>
  </si>
  <si>
    <t>Avg. to Data Center bytes/sec</t>
  </si>
  <si>
    <t>Peak Flow Counts to Data Center</t>
  </si>
  <si>
    <t>Peak to Data Center bytes/sec</t>
  </si>
  <si>
    <t>(average measured is 67%)</t>
  </si>
  <si>
    <t>(average measured is 1.65)</t>
  </si>
  <si>
    <t>std dev Size of records on disk:</t>
  </si>
  <si>
    <t>std dev Size after compression:</t>
  </si>
  <si>
    <t>std dev Bytes in records/hour:</t>
  </si>
  <si>
    <t>bytes/sec (std dev):</t>
  </si>
  <si>
    <t>Values from "Tool" sheet are highlighted in blue.</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</si>
</sst>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
    <numFmt numFmtId="165" formatCode="_(* #,##0.00_);_(* \(#,##0.00\);_(* \-??_);_(@_)"/>
    <numFmt numFmtId="166" formatCode="_(* #,##0_);_(* \(#,##0\);_(* \-??_);_(@_)"/>
    <numFmt numFmtId="167" formatCode="#,##0.000000000000"/>
  </numFmts>
  <fonts count="5" x14ac:knownFonts="1">
    <font>
      <sz val="10"/>
      <name val="Arial"/>
      <family val="2"/>
    </font>
    <font>
      <sz val="10"/>
      <name val="Arial"/>
      <family val="2"/>
    </font>
    <font>
      <b/>
      <sz val="16"/>
      <name val="Arial"/>
      <family val="2"/>
    </font>
    <font>
      <b/>
      <sz val="10"/>
      <name val="Arial"/>
      <family val="2"/>
    </font>
    <font>
      <b/>
      <i/>
      <sz val="12"/>
      <name val="Arial"/>
      <family val="2"/>
    </font>
  </fonts>
  <fills count="6">
    <fill>
      <patternFill patternType="none"/>
    </fill>
    <fill>
      <patternFill patternType="gray125"/>
    </fill>
    <fill>
      <patternFill patternType="solid">
        <fgColor indexed="13"/>
        <bgColor indexed="34"/>
      </patternFill>
    </fill>
    <fill>
      <patternFill patternType="solid">
        <fgColor indexed="13"/>
        <bgColor indexed="64"/>
      </patternFill>
    </fill>
    <fill>
      <patternFill patternType="solid">
        <fgColor rgb="FF92D050"/>
        <bgColor indexed="64"/>
      </patternFill>
    </fill>
    <fill>
      <patternFill patternType="solid">
        <fgColor rgb="FF00B0F0"/>
        <bgColor indexed="64"/>
      </patternFill>
    </fill>
  </fills>
  <borders count="8">
    <border>
      <left/>
      <right/>
      <top/>
      <bottom/>
      <diagonal/>
    </border>
    <border>
      <left style="double">
        <color indexed="8"/>
      </left>
      <right style="double">
        <color indexed="8"/>
      </right>
      <top style="double">
        <color indexed="8"/>
      </top>
      <bottom style="double">
        <color indexed="8"/>
      </bottom>
      <diagonal/>
    </border>
    <border>
      <left style="medium">
        <color indexed="8"/>
      </left>
      <right style="medium">
        <color indexed="8"/>
      </right>
      <top/>
      <bottom style="medium">
        <color indexed="8"/>
      </bottom>
      <diagonal/>
    </border>
    <border>
      <left style="double">
        <color indexed="64"/>
      </left>
      <right style="double">
        <color indexed="64"/>
      </right>
      <top style="double">
        <color indexed="64"/>
      </top>
      <bottom style="double">
        <color indexed="64"/>
      </bottom>
      <diagonal/>
    </border>
    <border>
      <left style="double">
        <color indexed="8"/>
      </left>
      <right style="double">
        <color indexed="8"/>
      </right>
      <top/>
      <bottom style="double">
        <color indexed="8"/>
      </bottom>
      <diagonal/>
    </border>
    <border>
      <left style="medium">
        <color indexed="64"/>
      </left>
      <right style="medium">
        <color indexed="64"/>
      </right>
      <top style="medium">
        <color indexed="64"/>
      </top>
      <bottom style="medium">
        <color indexed="64"/>
      </bottom>
      <diagonal/>
    </border>
    <border>
      <left style="medium">
        <color indexed="8"/>
      </left>
      <right style="medium">
        <color indexed="8"/>
      </right>
      <top style="double">
        <color indexed="8"/>
      </top>
      <bottom style="medium">
        <color indexed="8"/>
      </bottom>
      <diagonal/>
    </border>
    <border>
      <left style="medium">
        <color indexed="64"/>
      </left>
      <right style="medium">
        <color indexed="64"/>
      </right>
      <top/>
      <bottom style="medium">
        <color indexed="64"/>
      </bottom>
      <diagonal/>
    </border>
  </borders>
  <cellStyleXfs count="2">
    <xf numFmtId="0" fontId="0" fillId="0" borderId="0"/>
    <xf numFmtId="165" fontId="1" fillId="0" borderId="0" applyFill="0" applyBorder="0" applyAlignment="0" applyProtection="0"/>
  </cellStyleXfs>
  <cellXfs count="66">
    <xf numFmtId="0" fontId="0" fillId="0" borderId="0" xfId="0"/>
    <xf numFmtId="0" fontId="0" fillId="0" borderId="0" xfId="0" applyProtection="1">
      <protection hidden="1"/>
    </xf>
    <xf numFmtId="0" fontId="2" fillId="0" borderId="0" xfId="0" applyFont="1" applyBorder="1"/>
    <xf numFmtId="0" fontId="0" fillId="0" borderId="0" xfId="0" applyBorder="1"/>
    <xf numFmtId="3" fontId="0" fillId="0" borderId="0" xfId="0" applyNumberFormat="1" applyProtection="1">
      <protection hidden="1"/>
    </xf>
    <xf numFmtId="0" fontId="0" fillId="2" borderId="0" xfId="0" applyFont="1" applyFill="1" applyProtection="1">
      <protection hidden="1"/>
    </xf>
    <xf numFmtId="0" fontId="0" fillId="2" borderId="0" xfId="0" applyFill="1"/>
    <xf numFmtId="0" fontId="0" fillId="0" borderId="0" xfId="0" applyFont="1" applyBorder="1"/>
    <xf numFmtId="0" fontId="0" fillId="0" borderId="1" xfId="0" applyFont="1" applyFill="1" applyBorder="1" applyAlignment="1">
      <alignment horizontal="center"/>
    </xf>
    <xf numFmtId="0" fontId="0" fillId="0" borderId="1" xfId="0" applyFont="1" applyFill="1" applyBorder="1"/>
    <xf numFmtId="0" fontId="0" fillId="0" borderId="0" xfId="0" applyFont="1" applyFill="1" applyBorder="1"/>
    <xf numFmtId="49" fontId="0" fillId="2" borderId="0" xfId="0" applyNumberFormat="1" applyFill="1" applyProtection="1">
      <protection hidden="1"/>
    </xf>
    <xf numFmtId="3" fontId="0" fillId="2" borderId="0" xfId="0" applyNumberFormat="1" applyFill="1" applyProtection="1">
      <protection hidden="1"/>
    </xf>
    <xf numFmtId="11" fontId="0" fillId="2" borderId="0" xfId="0" applyNumberFormat="1" applyFill="1"/>
    <xf numFmtId="0" fontId="0" fillId="0" borderId="2" xfId="0" applyFont="1" applyBorder="1"/>
    <xf numFmtId="4" fontId="0" fillId="0" borderId="0" xfId="0" applyNumberFormat="1" applyProtection="1">
      <protection hidden="1"/>
    </xf>
    <xf numFmtId="4" fontId="0" fillId="0" borderId="0" xfId="0" applyNumberFormat="1" applyAlignment="1" applyProtection="1">
      <alignment horizontal="center"/>
      <protection hidden="1"/>
    </xf>
    <xf numFmtId="0" fontId="0" fillId="0" borderId="0" xfId="0" applyFont="1" applyAlignment="1" applyProtection="1">
      <alignment horizontal="center"/>
      <protection hidden="1"/>
    </xf>
    <xf numFmtId="0" fontId="0" fillId="2" borderId="0" xfId="0" applyNumberFormat="1" applyFill="1" applyProtection="1">
      <protection hidden="1"/>
    </xf>
    <xf numFmtId="0" fontId="3" fillId="0" borderId="0" xfId="0" applyFont="1" applyBorder="1" applyAlignment="1">
      <alignment horizontal="right"/>
    </xf>
    <xf numFmtId="0" fontId="3" fillId="0" borderId="0" xfId="0" applyFont="1" applyBorder="1" applyAlignment="1">
      <alignment horizontal="center"/>
    </xf>
    <xf numFmtId="4" fontId="0" fillId="0" borderId="0" xfId="0" applyNumberFormat="1" applyBorder="1"/>
    <xf numFmtId="0" fontId="4" fillId="0" borderId="0" xfId="0" applyFont="1" applyBorder="1"/>
    <xf numFmtId="164" fontId="0" fillId="0" borderId="0" xfId="0" applyNumberFormat="1" applyBorder="1"/>
    <xf numFmtId="164" fontId="0" fillId="0" borderId="0" xfId="0" applyNumberFormat="1"/>
    <xf numFmtId="0" fontId="3" fillId="0" borderId="0" xfId="0" applyFont="1"/>
    <xf numFmtId="0" fontId="0" fillId="0" borderId="0" xfId="0" applyFont="1" applyFill="1" applyBorder="1" applyAlignment="1">
      <alignment horizontal="center"/>
    </xf>
    <xf numFmtId="0" fontId="0" fillId="0" borderId="0" xfId="0" applyFill="1" applyProtection="1">
      <protection hidden="1"/>
    </xf>
    <xf numFmtId="0" fontId="0" fillId="0" borderId="1" xfId="0" applyFill="1" applyBorder="1" applyAlignment="1">
      <alignment horizontal="center"/>
    </xf>
    <xf numFmtId="0" fontId="0" fillId="2" borderId="0" xfId="0" applyFill="1" applyProtection="1">
      <protection hidden="1"/>
    </xf>
    <xf numFmtId="0" fontId="0" fillId="3" borderId="0" xfId="0" applyFill="1" applyProtection="1">
      <protection hidden="1"/>
    </xf>
    <xf numFmtId="0" fontId="0" fillId="0" borderId="3" xfId="0" applyBorder="1" applyAlignment="1">
      <alignment horizontal="center"/>
    </xf>
    <xf numFmtId="0" fontId="0" fillId="0" borderId="0" xfId="0" applyFill="1" applyBorder="1"/>
    <xf numFmtId="0" fontId="0" fillId="0" borderId="0" xfId="0" applyAlignment="1">
      <alignment horizontal="right"/>
    </xf>
    <xf numFmtId="0" fontId="0" fillId="0" borderId="0" xfId="0" applyFill="1" applyBorder="1" applyAlignment="1">
      <alignment horizontal="right"/>
    </xf>
    <xf numFmtId="166" fontId="1" fillId="0" borderId="0" xfId="1" applyNumberFormat="1" applyFont="1" applyFill="1" applyBorder="1" applyAlignment="1" applyProtection="1"/>
    <xf numFmtId="0" fontId="0" fillId="0" borderId="0" xfId="0" applyFill="1" applyBorder="1" applyProtection="1">
      <protection hidden="1"/>
    </xf>
    <xf numFmtId="0" fontId="0" fillId="0" borderId="0" xfId="0" quotePrefix="1" applyProtection="1">
      <protection hidden="1"/>
    </xf>
    <xf numFmtId="0" fontId="0" fillId="0" borderId="0" xfId="0" quotePrefix="1"/>
    <xf numFmtId="49" fontId="0" fillId="3" borderId="0" xfId="0" applyNumberFormat="1" applyFill="1" applyProtection="1">
      <protection hidden="1"/>
    </xf>
    <xf numFmtId="165" fontId="1" fillId="0" borderId="0" xfId="1"/>
    <xf numFmtId="43" fontId="0" fillId="0" borderId="0" xfId="0" applyNumberFormat="1"/>
    <xf numFmtId="10" fontId="0" fillId="0" borderId="0" xfId="0" applyNumberFormat="1" applyFill="1"/>
    <xf numFmtId="9" fontId="0" fillId="0" borderId="0" xfId="0" applyNumberFormat="1" applyFill="1" applyProtection="1">
      <protection hidden="1"/>
    </xf>
    <xf numFmtId="0" fontId="0" fillId="0" borderId="0" xfId="0" applyNumberFormat="1" applyFill="1"/>
    <xf numFmtId="0" fontId="0" fillId="0" borderId="0" xfId="0" applyFont="1" applyFill="1" applyAlignment="1" applyProtection="1">
      <alignment horizontal="center"/>
      <protection hidden="1"/>
    </xf>
    <xf numFmtId="0" fontId="0" fillId="4" borderId="0" xfId="0" applyFill="1" applyProtection="1">
      <protection hidden="1"/>
    </xf>
    <xf numFmtId="2" fontId="0" fillId="4" borderId="0" xfId="0" applyNumberFormat="1" applyFont="1" applyFill="1" applyProtection="1">
      <protection hidden="1"/>
    </xf>
    <xf numFmtId="2" fontId="0" fillId="4" borderId="0" xfId="0" applyNumberFormat="1" applyFill="1"/>
    <xf numFmtId="2" fontId="0" fillId="4" borderId="0" xfId="0" applyNumberFormat="1" applyFill="1" applyProtection="1">
      <protection hidden="1"/>
    </xf>
    <xf numFmtId="0" fontId="0" fillId="5" borderId="0" xfId="0" applyFill="1" applyProtection="1">
      <protection hidden="1"/>
    </xf>
    <xf numFmtId="0" fontId="0" fillId="5" borderId="1" xfId="0" applyFill="1" applyBorder="1" applyAlignment="1">
      <alignment horizontal="center"/>
    </xf>
    <xf numFmtId="9" fontId="0" fillId="5" borderId="6" xfId="0" applyNumberFormat="1" applyFill="1" applyBorder="1" applyAlignment="1" applyProtection="1">
      <alignment horizontal="center"/>
      <protection locked="0"/>
    </xf>
    <xf numFmtId="0" fontId="0" fillId="5" borderId="4" xfId="0" applyFill="1" applyBorder="1" applyAlignment="1">
      <alignment horizontal="center"/>
    </xf>
    <xf numFmtId="0" fontId="0" fillId="5" borderId="5" xfId="0" applyFill="1" applyBorder="1" applyProtection="1">
      <protection locked="0"/>
    </xf>
    <xf numFmtId="0" fontId="0" fillId="5" borderId="1" xfId="0" applyNumberFormat="1" applyFill="1" applyBorder="1"/>
    <xf numFmtId="9" fontId="0" fillId="5" borderId="7" xfId="0" applyNumberFormat="1" applyFill="1" applyBorder="1" applyAlignment="1" applyProtection="1">
      <alignment horizontal="center"/>
      <protection locked="0"/>
    </xf>
    <xf numFmtId="0" fontId="0" fillId="5" borderId="5" xfId="0" applyFill="1" applyBorder="1" applyAlignment="1" applyProtection="1">
      <alignment horizontal="center"/>
      <protection locked="0"/>
    </xf>
    <xf numFmtId="2" fontId="0" fillId="5" borderId="7" xfId="0" applyNumberFormat="1" applyFill="1" applyBorder="1" applyAlignment="1" applyProtection="1">
      <alignment horizontal="center"/>
      <protection locked="0"/>
    </xf>
    <xf numFmtId="4" fontId="0" fillId="0" borderId="0" xfId="0" applyNumberFormat="1"/>
    <xf numFmtId="9" fontId="0" fillId="0" borderId="0" xfId="0" applyNumberFormat="1" applyFill="1" applyBorder="1" applyProtection="1">
      <protection hidden="1"/>
    </xf>
    <xf numFmtId="167" fontId="0" fillId="0" borderId="0" xfId="0" applyNumberFormat="1"/>
    <xf numFmtId="10" fontId="0" fillId="5" borderId="0" xfId="0" applyNumberFormat="1" applyFill="1" applyProtection="1">
      <protection hidden="1"/>
    </xf>
    <xf numFmtId="9" fontId="0" fillId="5" borderId="0" xfId="0" applyNumberFormat="1" applyFill="1" applyProtection="1">
      <protection hidden="1"/>
    </xf>
    <xf numFmtId="2" fontId="0" fillId="5" borderId="0" xfId="0" applyNumberFormat="1" applyFont="1" applyFill="1" applyProtection="1">
      <protection hidden="1"/>
    </xf>
    <xf numFmtId="0" fontId="0" fillId="5" borderId="0" xfId="0" applyFill="1"/>
  </cellXfs>
  <cellStyles count="2">
    <cellStyle name="Comma"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45720</xdr:rowOff>
    </xdr:from>
    <xdr:to>
      <xdr:col>1</xdr:col>
      <xdr:colOff>0</xdr:colOff>
      <xdr:row>15</xdr:row>
      <xdr:rowOff>19050</xdr:rowOff>
    </xdr:to>
    <xdr:sp macro="" textlink="">
      <xdr:nvSpPr>
        <xdr:cNvPr id="2065" name="TextBox 2">
          <a:extLst>
            <a:ext uri="{FF2B5EF4-FFF2-40B4-BE49-F238E27FC236}">
              <a16:creationId xmlns:a16="http://schemas.microsoft.com/office/drawing/2014/main" id="{00000000-0008-0000-0000-000011080000}"/>
            </a:ext>
          </a:extLst>
        </xdr:cNvPr>
        <xdr:cNvSpPr txBox="1">
          <a:spLocks noChangeArrowheads="1"/>
        </xdr:cNvSpPr>
      </xdr:nvSpPr>
      <xdr:spPr bwMode="auto">
        <a:xfrm>
          <a:off x="0" y="45720"/>
          <a:ext cx="7829550" cy="2402205"/>
        </a:xfrm>
        <a:prstGeom prst="rect">
          <a:avLst/>
        </a:prstGeom>
        <a:noFill/>
        <a:ln w="12700">
          <a:no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Calibri"/>
              <a:cs typeface="Calibri"/>
            </a:rPr>
            <a:t>The SiLK Provisioning Spreadsheet can be used to estimate the amount of space required to hold flow records collected on a link of a particular size, and an estimate of the bandwidth required to move the data from a remote sensor location to the data center where the flow repository is located.</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There are </a:t>
          </a:r>
          <a:r>
            <a:rPr lang="en-US" sz="1100" b="0" i="0" u="none" strike="noStrike" baseline="0">
              <a:solidFill>
                <a:srgbClr val="000000"/>
              </a:solidFill>
              <a:latin typeface="+mn-lt"/>
              <a:cs typeface="Calibri"/>
            </a:rPr>
            <a:t>many factors that determine the amount of disk space required, including:</a:t>
          </a:r>
        </a:p>
        <a:p>
          <a:pPr algn="l" rtl="0">
            <a:defRPr sz="1000"/>
          </a:pPr>
          <a:r>
            <a:rPr lang="en-US" sz="1100" b="0" i="0" u="none" strike="noStrike" baseline="0">
              <a:solidFill>
                <a:srgbClr val="000000"/>
              </a:solidFill>
              <a:latin typeface="+mn-lt"/>
              <a:cs typeface="Calibri"/>
            </a:rPr>
            <a:t>(1) the size of the link being monitored,</a:t>
          </a:r>
        </a:p>
        <a:p>
          <a:pPr algn="l" rtl="0">
            <a:defRPr sz="1000"/>
          </a:pPr>
          <a:r>
            <a:rPr lang="en-US" sz="1100" b="0" i="0" u="none" strike="noStrike" baseline="0">
              <a:solidFill>
                <a:srgbClr val="000000"/>
              </a:solidFill>
              <a:latin typeface="+mn-lt"/>
              <a:cs typeface="Calibri"/>
            </a:rPr>
            <a:t>(2) the link's average utilization</a:t>
          </a:r>
        </a:p>
        <a:p>
          <a:pPr algn="l" rtl="0">
            <a:defRPr sz="1000"/>
          </a:pPr>
          <a:r>
            <a:rPr lang="en-US" sz="1100" b="0" i="0" u="none" strike="noStrike" baseline="0">
              <a:solidFill>
                <a:srgbClr val="000000"/>
              </a:solidFill>
              <a:latin typeface="+mn-lt"/>
              <a:cs typeface="Calibri"/>
            </a:rPr>
            <a:t>(3) the type of traffic being collected and stored (NetFlow-v5, IPFIX-IPv4, or IPFIX-IPv6)</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100" b="0" i="0" u="none" strike="noStrike" baseline="0">
              <a:solidFill>
                <a:srgbClr val="000000"/>
              </a:solidFill>
              <a:latin typeface="+mn-lt"/>
              <a:cs typeface="Calibri"/>
            </a:rPr>
            <a:t>(4) </a:t>
          </a:r>
          <a:r>
            <a:rPr lang="en-US" sz="1100">
              <a:latin typeface="+mn-lt"/>
              <a:ea typeface="+mn-ea"/>
              <a:cs typeface="+mn-cs"/>
            </a:rPr>
            <a:t>time period of archive data to store, and </a:t>
          </a:r>
          <a:endParaRPr lang="en-US" sz="1100" b="0" i="0" u="none" strike="noStrike" baseline="0">
            <a:solidFill>
              <a:srgbClr val="000000"/>
            </a:solidFill>
            <a:latin typeface="+mn-lt"/>
            <a:cs typeface="Calibri"/>
          </a:endParaRPr>
        </a:p>
        <a:p>
          <a:pPr algn="l" rtl="0">
            <a:defRPr sz="1000"/>
          </a:pPr>
          <a:r>
            <a:rPr lang="en-US" sz="1100" b="0" i="0" u="none" strike="noStrike" baseline="0">
              <a:solidFill>
                <a:srgbClr val="000000"/>
              </a:solidFill>
              <a:latin typeface="+mn-lt"/>
              <a:cs typeface="Calibri"/>
            </a:rPr>
            <a:t>(5) the number of flows records generated from the data.</a:t>
          </a:r>
        </a:p>
        <a:p>
          <a:pPr rtl="0" fontAlgn="base"/>
          <a:endParaRPr lang="en-US" sz="1100" b="0" i="0" baseline="0">
            <a:latin typeface="+mn-lt"/>
            <a:ea typeface="+mn-ea"/>
            <a:cs typeface="+mn-cs"/>
          </a:endParaRPr>
        </a:p>
        <a:p>
          <a:pPr rtl="0"/>
          <a:r>
            <a:rPr lang="en-US" sz="1100" b="0" i="0" baseline="0">
              <a:latin typeface="+mn-lt"/>
              <a:ea typeface="+mn-ea"/>
              <a:cs typeface="+mn-cs"/>
            </a:rPr>
            <a:t>To evaluate a worst case scenario as applied to a single network interface set the "Percentage Web  Traffic  Flows (B13)" to 0%, the "Standard deviations over mean (B15)" to 2, and (optionally) change the "Bidirectional traffic ratio(B14)" to 2.</a:t>
          </a:r>
          <a:endParaRPr lang="en-US"/>
        </a:p>
        <a:p>
          <a:pPr algn="l" rtl="0">
            <a:defRPr sz="1000"/>
          </a:pPr>
          <a:endParaRPr lang="en-US" sz="1100" b="0" i="0" u="none" strike="noStrike" baseline="0">
            <a:solidFill>
              <a:srgbClr val="000000"/>
            </a:solidFill>
            <a:latin typeface="Calibri"/>
            <a:cs typeface="Calibri"/>
          </a:endParaRPr>
        </a:p>
      </xdr:txBody>
    </xdr:sp>
    <xdr:clientData/>
  </xdr:twoCellAnchor>
  <xdr:twoCellAnchor editAs="absolute">
    <xdr:from>
      <xdr:col>0</xdr:col>
      <xdr:colOff>0</xdr:colOff>
      <xdr:row>16</xdr:row>
      <xdr:rowOff>0</xdr:rowOff>
    </xdr:from>
    <xdr:to>
      <xdr:col>0</xdr:col>
      <xdr:colOff>7713963</xdr:colOff>
      <xdr:row>35</xdr:row>
      <xdr:rowOff>12700</xdr:rowOff>
    </xdr:to>
    <xdr:sp macro="" textlink="">
      <xdr:nvSpPr>
        <xdr:cNvPr id="2066" name="TextBox 3">
          <a:extLst>
            <a:ext uri="{FF2B5EF4-FFF2-40B4-BE49-F238E27FC236}">
              <a16:creationId xmlns:a16="http://schemas.microsoft.com/office/drawing/2014/main" id="{00000000-0008-0000-0000-000012080000}"/>
            </a:ext>
          </a:extLst>
        </xdr:cNvPr>
        <xdr:cNvSpPr txBox="1">
          <a:spLocks noChangeArrowheads="1"/>
        </xdr:cNvSpPr>
      </xdr:nvSpPr>
      <xdr:spPr bwMode="auto">
        <a:xfrm>
          <a:off x="0" y="2438400"/>
          <a:ext cx="8826500" cy="2908300"/>
        </a:xfrm>
        <a:prstGeom prst="rect">
          <a:avLst/>
        </a:prstGeom>
        <a:noFill/>
        <a:ln w="12700">
          <a:no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Calibri"/>
              <a:cs typeface="Calibri"/>
            </a:rPr>
            <a:t>The following are the formula parameters:</a:t>
          </a:r>
        </a:p>
        <a:p>
          <a:pPr algn="l" rtl="0">
            <a:defRPr sz="1000"/>
          </a:pPr>
          <a:r>
            <a:rPr lang="en-US" sz="1100" b="0" i="0" u="none" strike="noStrike" baseline="0">
              <a:solidFill>
                <a:srgbClr val="000000"/>
              </a:solidFill>
              <a:latin typeface="Calibri"/>
              <a:cs typeface="Calibri"/>
            </a:rPr>
            <a:t>INPUTS</a:t>
          </a:r>
        </a:p>
        <a:p>
          <a:pPr algn="l" rtl="0">
            <a:defRPr sz="1000"/>
          </a:pPr>
          <a:r>
            <a:rPr lang="en-US" sz="1100" b="0" i="0" u="none" strike="noStrike" baseline="0">
              <a:solidFill>
                <a:srgbClr val="000000"/>
              </a:solidFill>
              <a:latin typeface="Calibri"/>
              <a:cs typeface="Calibri"/>
            </a:rPr>
            <a:t>-- Connection: (drop-down list): link type (eg OC3)</a:t>
          </a:r>
        </a:p>
        <a:p>
          <a:pPr algn="l" rtl="0">
            <a:defRPr sz="1000"/>
          </a:pPr>
          <a:r>
            <a:rPr lang="en-US" sz="1100" b="0" i="0" u="none" strike="noStrike" baseline="0">
              <a:solidFill>
                <a:srgbClr val="000000"/>
              </a:solidFill>
              <a:latin typeface="Calibri"/>
              <a:cs typeface="Calibri"/>
            </a:rPr>
            <a:t>-- Bandwidth utilization: Average % utilization of the connection  over a week(0 – 100%)</a:t>
          </a:r>
        </a:p>
        <a:p>
          <a:pPr algn="l" rtl="0">
            <a:defRPr sz="1000"/>
          </a:pPr>
          <a:r>
            <a:rPr lang="en-US" sz="1100" b="0" i="0" u="none" strike="noStrike" baseline="0">
              <a:solidFill>
                <a:srgbClr val="000000"/>
              </a:solidFill>
              <a:latin typeface="Calibri"/>
              <a:cs typeface="Calibri"/>
            </a:rPr>
            <a:t>-- Flow source: (drop-down list): Source of flow records</a:t>
          </a:r>
        </a:p>
        <a:p>
          <a:pPr algn="l" rtl="0">
            <a:defRPr sz="1000"/>
          </a:pPr>
          <a:r>
            <a:rPr lang="en-US" sz="1100" b="0" i="0" u="none" strike="noStrike" baseline="0">
              <a:solidFill>
                <a:srgbClr val="000000"/>
              </a:solidFill>
              <a:latin typeface="Calibri"/>
              <a:cs typeface="Calibri"/>
            </a:rPr>
            <a:t>    o  NetFlow v5, NetFlow v9, IPFIX</a:t>
          </a:r>
        </a:p>
        <a:p>
          <a:pPr algn="l" rtl="0">
            <a:defRPr sz="1000"/>
          </a:pPr>
          <a:r>
            <a:rPr lang="en-US" sz="1100" b="0" i="0" u="none" strike="noStrike" baseline="0">
              <a:solidFill>
                <a:srgbClr val="000000"/>
              </a:solidFill>
              <a:latin typeface="Calibri"/>
              <a:cs typeface="Calibri"/>
            </a:rPr>
            <a:t>-- Flow collection tool running on a remote sensor, when determining bandwidth between the flow collector and the flow repository</a:t>
          </a:r>
        </a:p>
        <a:p>
          <a:pPr algn="l" rtl="0">
            <a:defRPr sz="1000"/>
          </a:pPr>
          <a:r>
            <a:rPr lang="en-US" sz="1100" b="0" i="0" u="none" strike="noStrike" baseline="0">
              <a:solidFill>
                <a:srgbClr val="000000"/>
              </a:solidFill>
              <a:latin typeface="Calibri"/>
              <a:cs typeface="Calibri"/>
            </a:rPr>
            <a:t>    o  flowcap, rwflowpack</a:t>
          </a:r>
        </a:p>
        <a:p>
          <a:pPr algn="l" rtl="0">
            <a:defRPr sz="1000"/>
          </a:pPr>
          <a:r>
            <a:rPr lang="en-US" sz="1100" b="0" i="0" u="none" strike="noStrike" baseline="0">
              <a:solidFill>
                <a:srgbClr val="000000"/>
              </a:solidFill>
              <a:latin typeface="Calibri"/>
              <a:cs typeface="Calibri"/>
            </a:rPr>
            <a:t>-- Time Period – how long data should be kept when determining disk storage requirements</a:t>
          </a:r>
        </a:p>
        <a:p>
          <a:pPr algn="l" rtl="0">
            <a:defRPr sz="1000"/>
          </a:pPr>
          <a:r>
            <a:rPr lang="en-US" sz="1100" b="0" i="0" u="none" strike="noStrike" baseline="0">
              <a:solidFill>
                <a:srgbClr val="000000"/>
              </a:solidFill>
              <a:latin typeface="Calibri"/>
              <a:cs typeface="Calibri"/>
            </a:rPr>
            <a:t>-- Tweaks – system configuration and properties of the traffic</a:t>
          </a:r>
        </a:p>
        <a:p>
          <a:pPr algn="l" rtl="0">
            <a:defRPr sz="1000"/>
          </a:pPr>
          <a:r>
            <a:rPr lang="en-US" sz="1100" b="0" i="0" u="none" strike="noStrike" baseline="0">
              <a:solidFill>
                <a:srgbClr val="000000"/>
              </a:solidFill>
              <a:latin typeface="Calibri"/>
              <a:cs typeface="Calibri"/>
            </a:rPr>
            <a:t>    o  Store IPv6: boolean: is IPv6 collection occurring?</a:t>
          </a:r>
        </a:p>
        <a:p>
          <a:pPr algn="l" rtl="0">
            <a:defRPr sz="1000"/>
          </a:pPr>
          <a:r>
            <a:rPr lang="en-US" sz="1100" b="0" i="0" u="none" strike="noStrike" baseline="0">
              <a:solidFill>
                <a:srgbClr val="000000"/>
              </a:solidFill>
              <a:latin typeface="Calibri"/>
              <a:cs typeface="Calibri"/>
            </a:rPr>
            <a:t>    o  Use record compression: boolean: is compression turned on in the packer?</a:t>
          </a:r>
        </a:p>
        <a:p>
          <a:pPr algn="l" rtl="0">
            <a:defRPr sz="1000"/>
          </a:pPr>
          <a:r>
            <a:rPr lang="en-US" sz="1100" b="0" i="0" u="none" strike="noStrike" baseline="0">
              <a:solidFill>
                <a:srgbClr val="000000"/>
              </a:solidFill>
              <a:latin typeface="Calibri"/>
              <a:cs typeface="Calibri"/>
            </a:rPr>
            <a:t>    o  </a:t>
          </a:r>
          <a:r>
            <a:rPr lang="en-US" sz="1100">
              <a:latin typeface="+mn-lt"/>
              <a:ea typeface="+mn-ea"/>
              <a:cs typeface="+mn-cs"/>
            </a:rPr>
            <a:t>Percentage web traffic flows: percentage of the total flow traffic that is web based.  This is an important parameter given the sheer volume of this traffic. The average ratio has been measured at 67% but can vary greatly by organization.</a:t>
          </a:r>
          <a:endParaRPr lang="en-US" sz="1100" b="0" i="0" u="none" strike="noStrike" baseline="0">
            <a:solidFill>
              <a:srgbClr val="000000"/>
            </a:solidFill>
            <a:latin typeface="Calibri"/>
            <a:cs typeface="Calibri"/>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baseline="0">
              <a:latin typeface="+mn-lt"/>
              <a:ea typeface="+mn-ea"/>
              <a:cs typeface="+mn-cs"/>
            </a:rPr>
            <a:t>    o  </a:t>
          </a:r>
          <a:r>
            <a:rPr lang="en-US" sz="1100" b="0" i="0" baseline="0">
              <a:latin typeface="+mn-lt"/>
              <a:ea typeface="+mn-ea"/>
              <a:cs typeface="+mn-cs"/>
            </a:rPr>
            <a:t>Bidirectional traffic ratio: ratio representing the relationship of the ingress traffic to the egress traffic. To evaluate a fully saturated link in one direction use 1 and a fully saturated link in both would be 2. The average ratio has been measured at 1.65.</a:t>
          </a: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    o  Standard deviation over the mean: how many standard deviations should be used to pad to the expected data/flow size.</a:t>
          </a:r>
        </a:p>
      </xdr:txBody>
    </xdr:sp>
    <xdr:clientData/>
  </xdr:twoCellAnchor>
  <xdr:twoCellAnchor editAs="absolute">
    <xdr:from>
      <xdr:col>0</xdr:col>
      <xdr:colOff>0</xdr:colOff>
      <xdr:row>35</xdr:row>
      <xdr:rowOff>0</xdr:rowOff>
    </xdr:from>
    <xdr:to>
      <xdr:col>0</xdr:col>
      <xdr:colOff>7616842</xdr:colOff>
      <xdr:row>45</xdr:row>
      <xdr:rowOff>85725</xdr:rowOff>
    </xdr:to>
    <xdr:sp macro="" textlink="">
      <xdr:nvSpPr>
        <xdr:cNvPr id="2067" name="TextBox 4">
          <a:extLst>
            <a:ext uri="{FF2B5EF4-FFF2-40B4-BE49-F238E27FC236}">
              <a16:creationId xmlns:a16="http://schemas.microsoft.com/office/drawing/2014/main" id="{00000000-0008-0000-0000-000013080000}"/>
            </a:ext>
          </a:extLst>
        </xdr:cNvPr>
        <xdr:cNvSpPr txBox="1">
          <a:spLocks noChangeArrowheads="1"/>
        </xdr:cNvSpPr>
      </xdr:nvSpPr>
      <xdr:spPr bwMode="auto">
        <a:xfrm>
          <a:off x="0" y="5667375"/>
          <a:ext cx="7616842" cy="1704975"/>
        </a:xfrm>
        <a:prstGeom prst="rect">
          <a:avLst/>
        </a:prstGeom>
        <a:noFill/>
        <a:ln w="12700">
          <a:no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Calibri"/>
              <a:cs typeface="Calibri"/>
            </a:rPr>
            <a:t>OUTPUTS</a:t>
          </a:r>
        </a:p>
        <a:p>
          <a:pPr algn="l" rtl="0">
            <a:defRPr sz="1000"/>
          </a:pPr>
          <a:r>
            <a:rPr lang="en-US" sz="1100" b="0" i="0" u="none" strike="noStrike" baseline="0">
              <a:solidFill>
                <a:srgbClr val="000000"/>
              </a:solidFill>
              <a:latin typeface="Calibri"/>
              <a:cs typeface="Calibri"/>
            </a:rPr>
            <a:t>-- Approximate disk space required to store the flow records for the given time frame</a:t>
          </a:r>
        </a:p>
        <a:p>
          <a:pPr algn="l" rtl="0">
            <a:defRPr sz="1000"/>
          </a:pPr>
          <a:r>
            <a:rPr lang="en-US" sz="1100" b="0" i="0" u="none" strike="noStrike" baseline="0">
              <a:solidFill>
                <a:srgbClr val="000000"/>
              </a:solidFill>
              <a:latin typeface="Calibri"/>
              <a:cs typeface="Calibri"/>
            </a:rPr>
            <a:t>-- Bandwidth to the data center – required bandwidth between sensor and the data center to accept the flows from the sensor</a:t>
          </a:r>
        </a:p>
        <a:p>
          <a:pPr algn="l" rtl="0">
            <a:defRPr sz="1000"/>
          </a:pPr>
          <a:r>
            <a:rPr lang="en-US" sz="1100" b="0" i="0" u="none" strike="noStrike" baseline="0">
              <a:solidFill>
                <a:srgbClr val="000000"/>
              </a:solidFill>
              <a:latin typeface="Calibri"/>
              <a:cs typeface="Calibri"/>
            </a:rPr>
            <a:t>    o  Peak: approximate peak bandwidth required to aggregate the flows</a:t>
          </a:r>
        </a:p>
        <a:p>
          <a:pPr algn="l" rtl="0">
            <a:defRPr sz="1000"/>
          </a:pPr>
          <a:r>
            <a:rPr lang="en-US" sz="1100" b="0" i="0" u="none" strike="noStrike" baseline="0">
              <a:solidFill>
                <a:srgbClr val="000000"/>
              </a:solidFill>
              <a:latin typeface="Calibri"/>
              <a:cs typeface="Calibri"/>
            </a:rPr>
            <a:t>    o  Average: approximate average bandwidth require to aggregate the flows</a:t>
          </a:r>
        </a:p>
        <a:p>
          <a:pPr algn="l" rtl="0">
            <a:defRPr sz="1000"/>
          </a:pPr>
          <a:r>
            <a:rPr lang="en-US" sz="1100" b="0" i="0" u="none" strike="noStrike" baseline="0">
              <a:solidFill>
                <a:srgbClr val="000000"/>
              </a:solidFill>
              <a:latin typeface="Calibri"/>
              <a:cs typeface="Calibri"/>
            </a:rPr>
            <a:t>-- Flow counts</a:t>
          </a:r>
        </a:p>
        <a:p>
          <a:pPr algn="l" rtl="0">
            <a:defRPr sz="1000"/>
          </a:pPr>
          <a:r>
            <a:rPr lang="en-US" sz="1100" b="0" i="0" u="none" strike="noStrike" baseline="0">
              <a:solidFill>
                <a:srgbClr val="000000"/>
              </a:solidFill>
              <a:latin typeface="Calibri"/>
              <a:cs typeface="Calibri"/>
            </a:rPr>
            <a:t>    o  Peak: approximate peak number of flows seen per unit time</a:t>
          </a:r>
        </a:p>
        <a:p>
          <a:pPr algn="l" rtl="0">
            <a:defRPr sz="1000"/>
          </a:pPr>
          <a:r>
            <a:rPr lang="en-US" sz="1100" b="0" i="0" u="none" strike="noStrike" baseline="0">
              <a:solidFill>
                <a:srgbClr val="000000"/>
              </a:solidFill>
              <a:latin typeface="Calibri"/>
              <a:cs typeface="Calibri"/>
            </a:rPr>
            <a:t>    o  Average: approximate average number of flows seen per unit time unit</a:t>
          </a:r>
        </a:p>
      </xdr:txBody>
    </xdr:sp>
    <xdr:clientData/>
  </xdr:twoCellAnchor>
  <xdr:twoCellAnchor editAs="absolute">
    <xdr:from>
      <xdr:col>0</xdr:col>
      <xdr:colOff>0</xdr:colOff>
      <xdr:row>46</xdr:row>
      <xdr:rowOff>41274</xdr:rowOff>
    </xdr:from>
    <xdr:to>
      <xdr:col>0</xdr:col>
      <xdr:colOff>7629525</xdr:colOff>
      <xdr:row>71</xdr:row>
      <xdr:rowOff>152400</xdr:rowOff>
    </xdr:to>
    <xdr:sp macro="" textlink="">
      <xdr:nvSpPr>
        <xdr:cNvPr id="2068" name="TextBox 5">
          <a:extLst>
            <a:ext uri="{FF2B5EF4-FFF2-40B4-BE49-F238E27FC236}">
              <a16:creationId xmlns:a16="http://schemas.microsoft.com/office/drawing/2014/main" id="{00000000-0008-0000-0000-000014080000}"/>
            </a:ext>
          </a:extLst>
        </xdr:cNvPr>
        <xdr:cNvSpPr txBox="1">
          <a:spLocks noChangeArrowheads="1"/>
        </xdr:cNvSpPr>
      </xdr:nvSpPr>
      <xdr:spPr bwMode="auto">
        <a:xfrm>
          <a:off x="0" y="7489824"/>
          <a:ext cx="7629525" cy="4159251"/>
        </a:xfrm>
        <a:prstGeom prst="rect">
          <a:avLst/>
        </a:prstGeom>
        <a:noFill/>
        <a:ln w="12700">
          <a:no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Calibri"/>
              <a:cs typeface="Calibri"/>
            </a:rPr>
            <a:t>All fields in double borders can be clicked on in order to get a drop-down list of valid values. All fields with single borders require a numeric value.</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All values are based on the conversion of the connection bandwidth to a number of flows per second.  This was done by looking at the current bandwidth-to-flow rates on several existing sensors where outlying elements to the data set were factored out like holidays and weekends.  </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The bidirectional fudge factor was determined through the measurement of traffic volume in both directions during peak load intervals.</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A mean and standard deviation were produced across the sensors normalized with respect to in-use bandwidth.  The flows-per-bandwidth multiplier used in the calculations is this mean plus a certain number of standard deviations selectable in the Tweaks section of the spreadsheet.  All disk space and bandwidth values are based on a flows/sec value calculated using these values.</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Raw flow disk space was calculated using number of flows and known raw record sizes.  Web flow records are smaller than normal flow records, so the percentage of traffic that is web flow traffic can affect the results.</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As an implementation note, most of the spreadsheet's calculations hvae been moved to a  seperate worksheet. All constant values in this section are highlighted in yellow, all variable parameters that are based upon empiracal analysis are highlighted in green and all user inputs that can be changed on the Tools page to support the different use cases are highlighted in blue.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workbookViewId="0">
      <selection activeCell="A75" sqref="A75"/>
    </sheetView>
  </sheetViews>
  <sheetFormatPr defaultColWidth="8.7109375" defaultRowHeight="12.75" x14ac:dyDescent="0.2"/>
  <cols>
    <col min="1" max="1" width="117.42578125" customWidth="1"/>
  </cols>
  <sheetData/>
  <pageMargins left="0.75" right="0.75" top="1" bottom="1" header="0.51180555555555551" footer="0.51180555555555551"/>
  <pageSetup firstPageNumber="0"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1"/>
  <sheetViews>
    <sheetView showGridLines="0" tabSelected="1" workbookViewId="0">
      <selection activeCell="I13" sqref="I13"/>
    </sheetView>
  </sheetViews>
  <sheetFormatPr defaultColWidth="11.42578125" defaultRowHeight="12.75" x14ac:dyDescent="0.2"/>
  <cols>
    <col min="1" max="1" width="30" customWidth="1"/>
    <col min="2" max="2" width="12.42578125" customWidth="1"/>
    <col min="3" max="3" width="1.7109375" customWidth="1"/>
    <col min="4" max="4" width="9.140625" customWidth="1"/>
    <col min="5" max="5" width="9.7109375" customWidth="1"/>
    <col min="6" max="6" width="13.28515625" customWidth="1"/>
    <col min="7" max="7" width="21.140625" customWidth="1"/>
  </cols>
  <sheetData>
    <row r="1" spans="1:7" ht="21" thickBot="1" x14ac:dyDescent="0.35">
      <c r="A1" s="2" t="s">
        <v>68</v>
      </c>
      <c r="B1" s="3"/>
      <c r="C1" s="3"/>
      <c r="D1" s="3"/>
      <c r="E1" s="3"/>
      <c r="F1" s="3"/>
      <c r="G1" s="3"/>
    </row>
    <row r="2" spans="1:7" ht="14.25" thickTop="1" thickBot="1" x14ac:dyDescent="0.25">
      <c r="A2" s="7" t="s">
        <v>69</v>
      </c>
      <c r="B2" s="51" t="s">
        <v>74</v>
      </c>
      <c r="D2" s="3"/>
      <c r="E2" s="3" t="s">
        <v>75</v>
      </c>
      <c r="F2" s="9" t="s">
        <v>76</v>
      </c>
      <c r="G2" s="10" t="s">
        <v>77</v>
      </c>
    </row>
    <row r="3" spans="1:7" ht="14.25" thickTop="1" thickBot="1" x14ac:dyDescent="0.25">
      <c r="A3" s="3" t="s">
        <v>81</v>
      </c>
      <c r="B3" s="52">
        <v>0.37</v>
      </c>
      <c r="D3" s="3"/>
      <c r="E3" s="3" t="s">
        <v>75</v>
      </c>
      <c r="F3" s="14" t="s">
        <v>82</v>
      </c>
      <c r="G3" s="10" t="s">
        <v>83</v>
      </c>
    </row>
    <row r="4" spans="1:7" ht="13.5" thickBot="1" x14ac:dyDescent="0.25">
      <c r="A4" s="3" t="s">
        <v>87</v>
      </c>
      <c r="B4" s="53" t="s">
        <v>129</v>
      </c>
      <c r="D4" s="3"/>
      <c r="E4" s="50" t="s">
        <v>161</v>
      </c>
      <c r="F4" s="50"/>
      <c r="G4" s="50"/>
    </row>
    <row r="5" spans="1:7" ht="14.25" thickTop="1" thickBot="1" x14ac:dyDescent="0.25">
      <c r="A5" t="s">
        <v>92</v>
      </c>
      <c r="B5" s="51" t="s">
        <v>93</v>
      </c>
      <c r="F5" s="3"/>
      <c r="G5" s="3"/>
    </row>
    <row r="6" spans="1:7" ht="13.5" thickTop="1" x14ac:dyDescent="0.2">
      <c r="E6" s="3"/>
    </row>
    <row r="7" spans="1:7" ht="21" thickBot="1" x14ac:dyDescent="0.35">
      <c r="A7" s="2" t="s">
        <v>99</v>
      </c>
      <c r="B7" s="3"/>
      <c r="D7" s="3"/>
    </row>
    <row r="8" spans="1:7" ht="14.25" thickTop="1" thickBot="1" x14ac:dyDescent="0.25">
      <c r="A8" s="3" t="s">
        <v>102</v>
      </c>
      <c r="B8" s="54">
        <v>15</v>
      </c>
      <c r="D8" s="28" t="s">
        <v>33</v>
      </c>
    </row>
    <row r="10" spans="1:7" ht="21" thickBot="1" x14ac:dyDescent="0.35">
      <c r="A10" s="2" t="s">
        <v>109</v>
      </c>
      <c r="B10" s="3"/>
      <c r="D10" s="3"/>
    </row>
    <row r="11" spans="1:7" ht="14.25" thickTop="1" thickBot="1" x14ac:dyDescent="0.25">
      <c r="A11" s="3" t="s">
        <v>113</v>
      </c>
      <c r="B11" s="55" t="b">
        <v>0</v>
      </c>
      <c r="D11" s="3"/>
    </row>
    <row r="12" spans="1:7" ht="14.25" thickTop="1" thickBot="1" x14ac:dyDescent="0.25">
      <c r="A12" s="3" t="s">
        <v>115</v>
      </c>
      <c r="B12" s="55" t="b">
        <f>TRUE</f>
        <v>1</v>
      </c>
      <c r="D12" s="3"/>
    </row>
    <row r="13" spans="1:7" ht="14.25" thickTop="1" thickBot="1" x14ac:dyDescent="0.25">
      <c r="A13" s="3" t="s">
        <v>119</v>
      </c>
      <c r="B13" s="56">
        <v>0.1</v>
      </c>
      <c r="D13" s="3" t="s">
        <v>178</v>
      </c>
    </row>
    <row r="14" spans="1:7" ht="13.5" thickBot="1" x14ac:dyDescent="0.25">
      <c r="A14" s="32" t="s">
        <v>162</v>
      </c>
      <c r="B14" s="58">
        <v>1.65</v>
      </c>
      <c r="D14" s="3" t="s">
        <v>179</v>
      </c>
    </row>
    <row r="15" spans="1:7" ht="13.5" thickBot="1" x14ac:dyDescent="0.25">
      <c r="A15" s="32" t="s">
        <v>121</v>
      </c>
      <c r="B15" s="57">
        <v>2</v>
      </c>
    </row>
    <row r="16" spans="1:7" x14ac:dyDescent="0.2">
      <c r="D16" s="3"/>
    </row>
    <row r="17" spans="1:7" ht="20.25" x14ac:dyDescent="0.3">
      <c r="A17" s="2" t="s">
        <v>130</v>
      </c>
      <c r="B17" s="3"/>
      <c r="D17" s="3"/>
    </row>
    <row r="19" spans="1:7" ht="15.75" thickBot="1" x14ac:dyDescent="0.25">
      <c r="A19" s="22" t="s">
        <v>135</v>
      </c>
      <c r="B19" s="19"/>
      <c r="D19" s="20"/>
    </row>
    <row r="20" spans="1:7" ht="14.25" thickTop="1" thickBot="1" x14ac:dyDescent="0.25">
      <c r="A20" s="3" t="s">
        <v>141</v>
      </c>
      <c r="B20" s="21">
        <f ca="1">Calculations!B7</f>
        <v>4101.7086287914181</v>
      </c>
      <c r="D20" s="8" t="s">
        <v>90</v>
      </c>
    </row>
    <row r="21" spans="1:7" ht="13.5" thickTop="1" x14ac:dyDescent="0.2">
      <c r="A21" s="3"/>
      <c r="B21" s="21"/>
    </row>
    <row r="22" spans="1:7" ht="15.75" thickBot="1" x14ac:dyDescent="0.25">
      <c r="A22" s="22" t="s">
        <v>148</v>
      </c>
    </row>
    <row r="23" spans="1:7" ht="14.25" thickTop="1" thickBot="1" x14ac:dyDescent="0.25">
      <c r="A23" s="32" t="s">
        <v>151</v>
      </c>
      <c r="B23" s="23">
        <f ca="1">Calculations!B9</f>
        <v>4.7639677219532324</v>
      </c>
      <c r="D23" s="8" t="s">
        <v>127</v>
      </c>
    </row>
    <row r="24" spans="1:7" ht="14.25" thickTop="1" thickBot="1" x14ac:dyDescent="0.25">
      <c r="A24" s="32" t="s">
        <v>153</v>
      </c>
      <c r="B24" s="24">
        <f ca="1">Calculations!B10</f>
        <v>1.0551150242073346</v>
      </c>
      <c r="D24" s="8" t="s">
        <v>127</v>
      </c>
      <c r="G24" s="3"/>
    </row>
    <row r="25" spans="1:7" ht="13.5" thickTop="1" x14ac:dyDescent="0.2">
      <c r="F25" s="26"/>
      <c r="G25" s="3"/>
    </row>
    <row r="26" spans="1:7" ht="15.75" thickBot="1" x14ac:dyDescent="0.25">
      <c r="A26" s="22" t="s">
        <v>0</v>
      </c>
      <c r="B26" s="25"/>
      <c r="D26" s="3"/>
      <c r="F26" s="3"/>
    </row>
    <row r="27" spans="1:7" ht="14.25" thickTop="1" thickBot="1" x14ac:dyDescent="0.25">
      <c r="A27" s="3" t="s">
        <v>151</v>
      </c>
      <c r="B27" s="35">
        <f>Calculations!B26</f>
        <v>40130.551815032959</v>
      </c>
      <c r="D27" s="33" t="s">
        <v>3</v>
      </c>
      <c r="E27" s="31" t="s">
        <v>4</v>
      </c>
    </row>
    <row r="28" spans="1:7" ht="14.25" thickTop="1" thickBot="1" x14ac:dyDescent="0.25">
      <c r="A28" s="32" t="s">
        <v>153</v>
      </c>
      <c r="B28" s="35">
        <f>Calculations!B31</f>
        <v>8336.7819786071777</v>
      </c>
      <c r="D28" s="34" t="s">
        <v>3</v>
      </c>
      <c r="E28" s="31" t="s">
        <v>4</v>
      </c>
    </row>
    <row r="29" spans="1:7" ht="13.5" thickTop="1" x14ac:dyDescent="0.2"/>
    <row r="31" spans="1:7" x14ac:dyDescent="0.2">
      <c r="A31" s="61"/>
    </row>
    <row r="35" spans="1:2" x14ac:dyDescent="0.2">
      <c r="A35" s="40"/>
      <c r="B35" s="41"/>
    </row>
    <row r="36" spans="1:2" x14ac:dyDescent="0.2">
      <c r="A36" s="41"/>
    </row>
    <row r="39" spans="1:2" x14ac:dyDescent="0.2">
      <c r="A39" s="40"/>
    </row>
    <row r="40" spans="1:2" x14ac:dyDescent="0.2">
      <c r="A40" s="40"/>
      <c r="B40" s="59"/>
    </row>
    <row r="41" spans="1:2" x14ac:dyDescent="0.2">
      <c r="A41" s="41"/>
    </row>
  </sheetData>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oddHeader>
    <oddFooter>&amp;CPage &amp;P</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100-000000000000}">
          <x14:formula1>
            <xm:f>Calculations!$K$39:$K$45</xm:f>
          </x14:formula1>
          <xm:sqref>E27:E28</xm:sqref>
        </x14:dataValidation>
        <x14:dataValidation type="list" allowBlank="1" showInputMessage="1" showErrorMessage="1" xr:uid="{00000000-0002-0000-0100-000001000000}">
          <x14:formula1>
            <xm:f>Calculations!$L$1:$L$10</xm:f>
          </x14:formula1>
          <xm:sqref>D23:D24</xm:sqref>
        </x14:dataValidation>
        <x14:dataValidation type="list" allowBlank="1" showInputMessage="1" showErrorMessage="1" xr:uid="{00000000-0002-0000-0100-000002000000}">
          <x14:formula1>
            <xm:f>Calculations!$K$1:$K$10</xm:f>
          </x14:formula1>
          <xm:sqref>D20</xm:sqref>
        </x14:dataValidation>
        <x14:dataValidation type="list" allowBlank="1" showInputMessage="1" showErrorMessage="1" xr:uid="{00000000-0002-0000-0100-000003000000}">
          <x14:formula1>
            <xm:f>Calculations!$K$30:$L$30</xm:f>
          </x14:formula1>
          <xm:sqref>B11:B12</xm:sqref>
        </x14:dataValidation>
        <x14:dataValidation type="list" allowBlank="1" showInputMessage="1" showErrorMessage="1" xr:uid="{00000000-0002-0000-0100-000004000000}">
          <x14:formula1>
            <xm:f>Calculations!$K$33:$K$35</xm:f>
          </x14:formula1>
          <xm:sqref>D8</xm:sqref>
        </x14:dataValidation>
        <x14:dataValidation type="list" allowBlank="1" showInputMessage="1" showErrorMessage="1" xr:uid="{00000000-0002-0000-0100-000005000000}">
          <x14:formula1>
            <xm:f>Calculations!$N$30:$N$31</xm:f>
          </x14:formula1>
          <xm:sqref>B5</xm:sqref>
        </x14:dataValidation>
        <x14:dataValidation type="list" allowBlank="1" showInputMessage="1" showErrorMessage="1" xr:uid="{00000000-0002-0000-0100-000006000000}">
          <x14:formula1>
            <xm:f>Calculations!$K$13:$K$15</xm:f>
          </x14:formula1>
          <xm:sqref>B4</xm:sqref>
        </x14:dataValidation>
        <x14:dataValidation type="list" allowBlank="1" showInputMessage="1" showErrorMessage="1" xr:uid="{00000000-0002-0000-0100-000007000000}">
          <x14:formula1>
            <xm:f>Calculations!$H$2:$H$39</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81"/>
  <sheetViews>
    <sheetView workbookViewId="0">
      <selection activeCell="D23" sqref="D23:F23"/>
    </sheetView>
  </sheetViews>
  <sheetFormatPr defaultRowHeight="12.75" x14ac:dyDescent="0.2"/>
  <cols>
    <col min="1" max="1" width="30.140625" style="1" customWidth="1"/>
    <col min="2" max="2" width="12.140625" style="1" customWidth="1"/>
    <col min="3" max="3" width="11.42578125" style="1" customWidth="1"/>
    <col min="4" max="4" width="14.28515625" style="1" customWidth="1"/>
    <col min="5" max="6" width="11.42578125" style="1" customWidth="1"/>
    <col min="7" max="7" width="6.7109375" style="1" customWidth="1"/>
    <col min="8" max="8" width="15.140625" style="1" customWidth="1"/>
    <col min="9" max="9" width="13.7109375" style="1" customWidth="1"/>
    <col min="10" max="10" width="7.28515625" style="1" customWidth="1"/>
    <col min="11" max="11" width="11.42578125" style="1" customWidth="1"/>
    <col min="12" max="12" width="9.140625" style="1" customWidth="1"/>
    <col min="13" max="13" width="12.28515625" style="1" customWidth="1"/>
    <col min="14" max="14" width="11.42578125" customWidth="1"/>
    <col min="15" max="15" width="6.28515625" customWidth="1"/>
    <col min="16" max="16" width="8" customWidth="1"/>
    <col min="17" max="17" width="11.42578125" customWidth="1"/>
  </cols>
  <sheetData>
    <row r="1" spans="1:14" x14ac:dyDescent="0.2">
      <c r="A1" s="1" t="s">
        <v>69</v>
      </c>
      <c r="B1" s="50" t="str">
        <f>'SiLK Provisioning Tool'!$B$2</f>
        <v>1 Gbit</v>
      </c>
      <c r="D1" s="4">
        <f>VLOOKUP(B1,$H$2:$I$39,2,0)/8</f>
        <v>125000000</v>
      </c>
      <c r="E1" s="1" t="s">
        <v>70</v>
      </c>
      <c r="H1" s="1" t="s">
        <v>71</v>
      </c>
      <c r="I1" s="1" t="s">
        <v>72</v>
      </c>
      <c r="K1" s="5" t="s">
        <v>73</v>
      </c>
      <c r="L1" s="5" t="str">
        <f>CONCATENATE(K1,"/s")</f>
        <v>bytes/s</v>
      </c>
      <c r="M1" s="5">
        <v>1</v>
      </c>
      <c r="N1" s="6">
        <v>1</v>
      </c>
    </row>
    <row r="2" spans="1:14" x14ac:dyDescent="0.2">
      <c r="A2" s="1" t="s">
        <v>78</v>
      </c>
      <c r="B2" s="62">
        <f>'SiLK Provisioning Tool'!$B$3</f>
        <v>0.37</v>
      </c>
      <c r="D2" s="4">
        <f>$D$1*$B$2</f>
        <v>46250000</v>
      </c>
      <c r="E2" s="1" t="s">
        <v>70</v>
      </c>
      <c r="H2" s="11">
        <v>300</v>
      </c>
      <c r="I2" s="12">
        <v>300</v>
      </c>
      <c r="K2" s="29" t="s">
        <v>79</v>
      </c>
      <c r="L2" s="29" t="s">
        <v>80</v>
      </c>
      <c r="M2" s="5">
        <f>2^10</f>
        <v>1024</v>
      </c>
      <c r="N2" s="13">
        <v>1000</v>
      </c>
    </row>
    <row r="3" spans="1:14" x14ac:dyDescent="0.2">
      <c r="A3" s="1" t="s">
        <v>84</v>
      </c>
      <c r="B3" s="50" t="b">
        <f>'SiLK Provisioning Tool'!B11</f>
        <v>0</v>
      </c>
      <c r="H3" s="11">
        <v>9600</v>
      </c>
      <c r="I3" s="12">
        <v>9600</v>
      </c>
      <c r="K3" s="29" t="s">
        <v>85</v>
      </c>
      <c r="L3" s="29" t="s">
        <v>86</v>
      </c>
      <c r="M3" s="5">
        <f>2^20</f>
        <v>1048576</v>
      </c>
      <c r="N3" s="13">
        <v>1000000</v>
      </c>
    </row>
    <row r="4" spans="1:14" x14ac:dyDescent="0.2">
      <c r="A4" s="1" t="s">
        <v>89</v>
      </c>
      <c r="B4" s="50" t="b">
        <f>'SiLK Provisioning Tool'!B12</f>
        <v>1</v>
      </c>
      <c r="H4" s="11">
        <v>14.4</v>
      </c>
      <c r="I4" s="12">
        <v>14400</v>
      </c>
      <c r="K4" s="29" t="s">
        <v>90</v>
      </c>
      <c r="L4" s="29" t="s">
        <v>91</v>
      </c>
      <c r="M4" s="5">
        <f>2^30</f>
        <v>1073741824</v>
      </c>
      <c r="N4" s="13">
        <v>1000000000</v>
      </c>
    </row>
    <row r="5" spans="1:14" x14ac:dyDescent="0.2">
      <c r="A5" s="1" t="s">
        <v>94</v>
      </c>
      <c r="B5" s="50">
        <f>'SiLK Provisioning Tool'!B8</f>
        <v>15</v>
      </c>
      <c r="C5" s="1" t="str">
        <f>'SiLK Provisioning Tool'!D8</f>
        <v>month(s)</v>
      </c>
      <c r="D5" s="1">
        <f>VLOOKUP(C5,$K$33:$L$35,2,0)*B5</f>
        <v>10957.2</v>
      </c>
      <c r="E5" s="1" t="s">
        <v>95</v>
      </c>
      <c r="H5" s="11">
        <v>28.8</v>
      </c>
      <c r="I5" s="12">
        <v>28800</v>
      </c>
      <c r="K5" s="29" t="s">
        <v>96</v>
      </c>
      <c r="L5" s="29" t="s">
        <v>97</v>
      </c>
      <c r="M5" s="5">
        <f>2^40</f>
        <v>1099511627776</v>
      </c>
      <c r="N5" s="13">
        <v>1000000000000</v>
      </c>
    </row>
    <row r="6" spans="1:14" x14ac:dyDescent="0.2">
      <c r="A6"/>
      <c r="B6"/>
      <c r="C6"/>
      <c r="D6"/>
      <c r="E6"/>
      <c r="H6" s="11">
        <v>33.6</v>
      </c>
      <c r="I6" s="12">
        <v>33600</v>
      </c>
      <c r="K6" s="5" t="s">
        <v>98</v>
      </c>
      <c r="L6" s="5" t="str">
        <f>CONCATENATE(K6,"/s")</f>
        <v>bits/s</v>
      </c>
      <c r="M6" s="5">
        <f>1/8</f>
        <v>0.125</v>
      </c>
      <c r="N6" s="6">
        <f>1/8</f>
        <v>0.125</v>
      </c>
    </row>
    <row r="7" spans="1:14" x14ac:dyDescent="0.2">
      <c r="A7" s="1" t="s">
        <v>100</v>
      </c>
      <c r="B7" s="15">
        <f ca="1">$B$54/$D$7</f>
        <v>4101.7086287914181</v>
      </c>
      <c r="C7" s="16" t="str">
        <f>'SiLK Provisioning Tool'!D20</f>
        <v>GB</v>
      </c>
      <c r="D7" s="1">
        <f>VLOOKUP(C7,$K$1:$N$5,4,0)</f>
        <v>1000000000</v>
      </c>
      <c r="E7" s="1" t="str">
        <f>CONCATENATE("Bytes in a ",C7)</f>
        <v>Bytes in a GB</v>
      </c>
      <c r="H7" s="11">
        <v>57.6</v>
      </c>
      <c r="I7" s="12">
        <v>57600</v>
      </c>
      <c r="K7" s="5" t="s">
        <v>101</v>
      </c>
      <c r="L7" s="5" t="str">
        <f>CONCATENATE(K7,"/s")</f>
        <v>Kbit/s</v>
      </c>
      <c r="M7" s="5">
        <f>2^10/8</f>
        <v>128</v>
      </c>
      <c r="N7" s="6">
        <f>1000/8</f>
        <v>125</v>
      </c>
    </row>
    <row r="8" spans="1:14" x14ac:dyDescent="0.2">
      <c r="H8" s="11" t="s">
        <v>104</v>
      </c>
      <c r="I8" s="12">
        <v>64000</v>
      </c>
      <c r="K8" s="5" t="s">
        <v>105</v>
      </c>
      <c r="L8" s="5" t="str">
        <f>CONCATENATE(K8,"/s")</f>
        <v>Mbit/s</v>
      </c>
      <c r="M8" s="5">
        <f>2^20/8</f>
        <v>131072</v>
      </c>
      <c r="N8" s="6">
        <f>1000000/8</f>
        <v>125000</v>
      </c>
    </row>
    <row r="9" spans="1:14" x14ac:dyDescent="0.2">
      <c r="A9" s="1" t="s">
        <v>106</v>
      </c>
      <c r="B9" s="15">
        <f ca="1">$B$79/$D$9</f>
        <v>4.7639677219532324</v>
      </c>
      <c r="C9" s="17" t="str">
        <f>'SiLK Provisioning Tool'!D23</f>
        <v>Mbit/s</v>
      </c>
      <c r="D9" s="4">
        <f>VLOOKUP(C9,$L$1:$M$10,2,0)</f>
        <v>131072</v>
      </c>
      <c r="E9" s="1" t="s">
        <v>159</v>
      </c>
      <c r="H9" s="11" t="s">
        <v>107</v>
      </c>
      <c r="I9" s="12">
        <v>128000</v>
      </c>
      <c r="K9" s="5" t="s">
        <v>108</v>
      </c>
      <c r="L9" s="5" t="str">
        <f>CONCATENATE(K9,"/s")</f>
        <v>Gbit/s</v>
      </c>
      <c r="M9" s="5">
        <f>2^30/8</f>
        <v>134217728</v>
      </c>
      <c r="N9" s="6">
        <f>1000000000/8</f>
        <v>125000000</v>
      </c>
    </row>
    <row r="10" spans="1:14" x14ac:dyDescent="0.2">
      <c r="A10" s="1" t="s">
        <v>110</v>
      </c>
      <c r="B10" s="15">
        <f ca="1">$B$71/$D$10</f>
        <v>1.0551150242073346</v>
      </c>
      <c r="C10" s="17" t="str">
        <f>'SiLK Provisioning Tool'!D24</f>
        <v>Mbit/s</v>
      </c>
      <c r="D10" s="4">
        <f>VLOOKUP(C10,$L$1:$M$10,2,0)</f>
        <v>131072</v>
      </c>
      <c r="E10" s="1" t="s">
        <v>159</v>
      </c>
      <c r="H10" s="11" t="s">
        <v>111</v>
      </c>
      <c r="I10" s="12">
        <v>64000</v>
      </c>
      <c r="K10" s="5" t="s">
        <v>112</v>
      </c>
      <c r="L10" s="5" t="str">
        <f>CONCATENATE(K10,"/s")</f>
        <v>Tbit/s</v>
      </c>
      <c r="M10" s="5">
        <f>2^40/8</f>
        <v>137438953472</v>
      </c>
      <c r="N10" s="6">
        <f>1000000000000/8</f>
        <v>125000000000</v>
      </c>
    </row>
    <row r="11" spans="1:14" x14ac:dyDescent="0.2">
      <c r="H11" s="11" t="s">
        <v>114</v>
      </c>
      <c r="I11" s="12">
        <v>128000</v>
      </c>
    </row>
    <row r="12" spans="1:14" x14ac:dyDescent="0.2">
      <c r="A12" s="1" t="s">
        <v>116</v>
      </c>
      <c r="B12" s="63">
        <f>'SiLK Provisioning Tool'!B13</f>
        <v>0.1</v>
      </c>
      <c r="H12" s="11" t="s">
        <v>117</v>
      </c>
      <c r="I12" s="12">
        <v>256000</v>
      </c>
      <c r="K12" s="1" t="s">
        <v>118</v>
      </c>
    </row>
    <row r="13" spans="1:14" x14ac:dyDescent="0.2">
      <c r="A13" s="1" t="s">
        <v>162</v>
      </c>
      <c r="B13" s="64">
        <f>'SiLK Provisioning Tool'!B14</f>
        <v>1.65</v>
      </c>
      <c r="H13" s="11" t="s">
        <v>120</v>
      </c>
      <c r="I13" s="12">
        <v>512000</v>
      </c>
      <c r="K13" s="5" t="s">
        <v>88</v>
      </c>
      <c r="L13" s="5">
        <v>0</v>
      </c>
    </row>
    <row r="14" spans="1:14" x14ac:dyDescent="0.2">
      <c r="A14" s="1" t="s">
        <v>122</v>
      </c>
      <c r="B14" s="1">
        <f>$D$2*$B$13</f>
        <v>76312500</v>
      </c>
      <c r="H14" s="11" t="s">
        <v>123</v>
      </c>
      <c r="I14" s="12">
        <v>1544000</v>
      </c>
      <c r="K14" s="5" t="s">
        <v>124</v>
      </c>
      <c r="L14" s="5">
        <v>1</v>
      </c>
    </row>
    <row r="15" spans="1:14" x14ac:dyDescent="0.2">
      <c r="A15" s="1" t="s">
        <v>125</v>
      </c>
      <c r="B15" s="48">
        <v>46.679000000000002</v>
      </c>
      <c r="C15" s="17" t="s">
        <v>126</v>
      </c>
      <c r="D15" s="45" t="s">
        <v>127</v>
      </c>
      <c r="E15" s="4">
        <f>VLOOKUP(D15,$L$1:$N$10,2,0)</f>
        <v>131072</v>
      </c>
      <c r="F15" s="1" t="s">
        <v>159</v>
      </c>
      <c r="H15" s="11" t="s">
        <v>128</v>
      </c>
      <c r="I15" s="12">
        <v>64000</v>
      </c>
      <c r="K15" s="5" t="s">
        <v>129</v>
      </c>
      <c r="L15" s="5">
        <v>1</v>
      </c>
    </row>
    <row r="16" spans="1:14" x14ac:dyDescent="0.2">
      <c r="A16" s="1" t="s">
        <v>131</v>
      </c>
      <c r="B16" s="47">
        <v>11.124000000000001</v>
      </c>
      <c r="H16" s="11" t="s">
        <v>132</v>
      </c>
      <c r="I16" s="12">
        <v>1544000</v>
      </c>
    </row>
    <row r="17" spans="1:16" x14ac:dyDescent="0.2">
      <c r="A17" s="1" t="s">
        <v>142</v>
      </c>
      <c r="B17" s="49">
        <v>12.641</v>
      </c>
      <c r="C17" s="17" t="s">
        <v>126</v>
      </c>
      <c r="D17" s="45" t="s">
        <v>127</v>
      </c>
      <c r="E17" s="4">
        <f>VLOOKUP(D17,$L$1:$N$10,2,0)</f>
        <v>131072</v>
      </c>
      <c r="F17" s="1" t="s">
        <v>159</v>
      </c>
      <c r="H17" s="11" t="s">
        <v>133</v>
      </c>
      <c r="I17" s="12">
        <v>6312000</v>
      </c>
      <c r="K17" t="s">
        <v>134</v>
      </c>
      <c r="L17"/>
      <c r="M17"/>
    </row>
    <row r="18" spans="1:16" x14ac:dyDescent="0.2">
      <c r="A18" s="1" t="s">
        <v>145</v>
      </c>
      <c r="B18" s="49">
        <f>0.839</f>
        <v>0.83899999999999997</v>
      </c>
      <c r="H18" s="11" t="s">
        <v>136</v>
      </c>
      <c r="I18" s="12">
        <v>44736000</v>
      </c>
      <c r="L18" s="17" t="s">
        <v>137</v>
      </c>
      <c r="M18" s="17" t="s">
        <v>138</v>
      </c>
      <c r="N18" s="17" t="s">
        <v>139</v>
      </c>
      <c r="O18" s="17" t="s">
        <v>140</v>
      </c>
    </row>
    <row r="19" spans="1:16" x14ac:dyDescent="0.2">
      <c r="A19" s="1" t="s">
        <v>154</v>
      </c>
      <c r="B19" s="43">
        <v>0.5</v>
      </c>
      <c r="H19" s="11" t="s">
        <v>143</v>
      </c>
      <c r="I19" s="12">
        <v>274176000</v>
      </c>
      <c r="K19" s="5" t="s">
        <v>144</v>
      </c>
      <c r="L19" s="5">
        <v>22</v>
      </c>
      <c r="M19" s="5">
        <v>26</v>
      </c>
      <c r="N19" s="5">
        <v>68</v>
      </c>
      <c r="O19" s="6">
        <v>68</v>
      </c>
    </row>
    <row r="20" spans="1:16" x14ac:dyDescent="0.2">
      <c r="A20"/>
      <c r="B20"/>
      <c r="H20" s="11" t="s">
        <v>146</v>
      </c>
      <c r="I20" s="12">
        <v>2048000</v>
      </c>
      <c r="K20" s="5" t="s">
        <v>147</v>
      </c>
      <c r="L20" s="5">
        <v>24</v>
      </c>
      <c r="M20" s="5">
        <v>28</v>
      </c>
      <c r="N20" s="5">
        <v>68</v>
      </c>
      <c r="O20" s="6">
        <v>68</v>
      </c>
    </row>
    <row r="21" spans="1:16" x14ac:dyDescent="0.2">
      <c r="A21" s="1" t="s">
        <v>1</v>
      </c>
      <c r="B21" s="43">
        <v>0.1</v>
      </c>
      <c r="D21" s="5" t="s">
        <v>155</v>
      </c>
      <c r="E21" s="5"/>
      <c r="F21" s="5"/>
      <c r="H21" s="11" t="s">
        <v>149</v>
      </c>
      <c r="I21" s="12">
        <v>8000000</v>
      </c>
      <c r="K21" s="5" t="s">
        <v>150</v>
      </c>
      <c r="L21" s="5">
        <v>38</v>
      </c>
      <c r="M21" s="5">
        <v>38</v>
      </c>
      <c r="N21" s="5">
        <v>88</v>
      </c>
      <c r="O21" s="6">
        <v>88</v>
      </c>
    </row>
    <row r="22" spans="1:16" x14ac:dyDescent="0.2">
      <c r="D22" s="46" t="s">
        <v>160</v>
      </c>
      <c r="E22" s="46"/>
      <c r="F22" s="46"/>
      <c r="H22" s="11" t="s">
        <v>152</v>
      </c>
      <c r="I22" s="12">
        <v>34368000</v>
      </c>
      <c r="K22"/>
      <c r="L22"/>
      <c r="M22"/>
    </row>
    <row r="23" spans="1:16" x14ac:dyDescent="0.2">
      <c r="A23" s="1" t="s">
        <v>6</v>
      </c>
      <c r="B23" s="1">
        <f>$B$14/$E$15*$B$15</f>
        <v>27177.361965179443</v>
      </c>
      <c r="D23" s="50" t="s">
        <v>184</v>
      </c>
      <c r="E23" s="50"/>
      <c r="F23" s="50"/>
      <c r="H23" s="11" t="s">
        <v>156</v>
      </c>
      <c r="I23" s="12">
        <v>139264000</v>
      </c>
      <c r="K23" t="s">
        <v>157</v>
      </c>
      <c r="L23"/>
      <c r="M23"/>
    </row>
    <row r="24" spans="1:16" x14ac:dyDescent="0.2">
      <c r="A24" s="1" t="s">
        <v>169</v>
      </c>
      <c r="B24" s="50">
        <f>'SiLK Provisioning Tool'!B15</f>
        <v>2</v>
      </c>
      <c r="D24" s="27"/>
      <c r="H24" s="11" t="s">
        <v>158</v>
      </c>
      <c r="I24" s="12">
        <v>565148000</v>
      </c>
      <c r="L24" s="17" t="s">
        <v>137</v>
      </c>
      <c r="M24" s="17" t="s">
        <v>138</v>
      </c>
      <c r="N24" s="17" t="s">
        <v>139</v>
      </c>
      <c r="O24" s="17" t="s">
        <v>140</v>
      </c>
    </row>
    <row r="25" spans="1:16" x14ac:dyDescent="0.2">
      <c r="A25" s="1" t="s">
        <v>168</v>
      </c>
      <c r="B25" s="1">
        <f>$B$14/$E$15*$B$16</f>
        <v>6476.5949249267578</v>
      </c>
      <c r="H25" s="11" t="s">
        <v>2</v>
      </c>
      <c r="I25" s="12">
        <v>10000000</v>
      </c>
      <c r="K25" s="5" t="s">
        <v>144</v>
      </c>
      <c r="L25" s="5">
        <v>44</v>
      </c>
      <c r="M25" s="5">
        <v>52</v>
      </c>
      <c r="N25" s="5">
        <v>68</v>
      </c>
      <c r="O25" s="6">
        <v>68</v>
      </c>
    </row>
    <row r="26" spans="1:16" x14ac:dyDescent="0.2">
      <c r="A26" s="1" t="s">
        <v>176</v>
      </c>
      <c r="B26" s="1">
        <f>B23+B24*B25</f>
        <v>40130.551815032959</v>
      </c>
      <c r="H26" s="11" t="s">
        <v>5</v>
      </c>
      <c r="I26" s="12">
        <v>100000000</v>
      </c>
      <c r="K26" s="5" t="s">
        <v>147</v>
      </c>
      <c r="L26" s="5">
        <v>48</v>
      </c>
      <c r="M26" s="5">
        <v>56</v>
      </c>
      <c r="N26" s="5">
        <v>68</v>
      </c>
      <c r="O26" s="6">
        <v>68</v>
      </c>
    </row>
    <row r="27" spans="1:16" x14ac:dyDescent="0.2">
      <c r="H27" s="11" t="s">
        <v>7</v>
      </c>
      <c r="I27" s="12">
        <v>1000000000</v>
      </c>
      <c r="K27" s="5" t="s">
        <v>150</v>
      </c>
      <c r="L27" s="5">
        <v>76</v>
      </c>
      <c r="M27" s="5">
        <v>76</v>
      </c>
      <c r="N27" s="5">
        <v>88</v>
      </c>
      <c r="O27" s="6">
        <v>88</v>
      </c>
    </row>
    <row r="28" spans="1:16" x14ac:dyDescent="0.2">
      <c r="A28" s="1" t="s">
        <v>8</v>
      </c>
      <c r="B28" s="1">
        <f>$B$14/$E$17*$B$17</f>
        <v>7359.8198890686035</v>
      </c>
      <c r="H28" s="11" t="s">
        <v>9</v>
      </c>
      <c r="I28" s="12">
        <v>100000000</v>
      </c>
    </row>
    <row r="29" spans="1:16" x14ac:dyDescent="0.2">
      <c r="A29" s="1" t="s">
        <v>169</v>
      </c>
      <c r="B29" s="50">
        <f>'SiLK Provisioning Tool'!B15</f>
        <v>2</v>
      </c>
      <c r="H29" s="11" t="s">
        <v>10</v>
      </c>
      <c r="I29" s="12">
        <v>50112000</v>
      </c>
      <c r="K29" s="1" t="s">
        <v>11</v>
      </c>
      <c r="N29" t="s">
        <v>12</v>
      </c>
      <c r="O29" t="s">
        <v>13</v>
      </c>
      <c r="P29" t="s">
        <v>14</v>
      </c>
    </row>
    <row r="30" spans="1:16" x14ac:dyDescent="0.2">
      <c r="A30" s="1" t="s">
        <v>168</v>
      </c>
      <c r="B30" s="1">
        <f>$B$14/$E$17*$B$18</f>
        <v>488.48104476928711</v>
      </c>
      <c r="H30" s="11" t="s">
        <v>17</v>
      </c>
      <c r="I30" s="12">
        <v>150336000</v>
      </c>
      <c r="K30" s="18" t="b">
        <f>TRUE</f>
        <v>1</v>
      </c>
      <c r="L30" s="18" t="b">
        <f>FALSE</f>
        <v>0</v>
      </c>
      <c r="N30" s="6" t="s">
        <v>18</v>
      </c>
      <c r="O30" s="6">
        <v>0</v>
      </c>
      <c r="P30" s="6">
        <v>60</v>
      </c>
    </row>
    <row r="31" spans="1:16" x14ac:dyDescent="0.2">
      <c r="A31" s="1" t="s">
        <v>170</v>
      </c>
      <c r="B31" s="1">
        <f>B28+B29*B30</f>
        <v>8336.7819786071777</v>
      </c>
      <c r="H31" s="11" t="s">
        <v>20</v>
      </c>
      <c r="I31" s="12">
        <v>601344000</v>
      </c>
      <c r="N31" s="6" t="s">
        <v>93</v>
      </c>
      <c r="O31" s="6">
        <v>1</v>
      </c>
      <c r="P31" s="6">
        <v>180</v>
      </c>
    </row>
    <row r="32" spans="1:16" x14ac:dyDescent="0.2">
      <c r="H32" s="11" t="s">
        <v>23</v>
      </c>
      <c r="I32" s="12">
        <v>2405376000</v>
      </c>
      <c r="K32" s="1" t="s">
        <v>24</v>
      </c>
    </row>
    <row r="33" spans="1:12" x14ac:dyDescent="0.2">
      <c r="A33" s="1" t="s">
        <v>15</v>
      </c>
      <c r="B33" s="44">
        <v>6</v>
      </c>
      <c r="C33" s="37" t="s">
        <v>16</v>
      </c>
      <c r="H33" s="11" t="s">
        <v>27</v>
      </c>
      <c r="I33" s="12">
        <v>4976640000</v>
      </c>
      <c r="K33" s="5" t="s">
        <v>30</v>
      </c>
      <c r="L33" s="5">
        <f>24*7</f>
        <v>168</v>
      </c>
    </row>
    <row r="34" spans="1:12" x14ac:dyDescent="0.2">
      <c r="A34" t="s">
        <v>19</v>
      </c>
      <c r="B34" s="42">
        <v>0.33</v>
      </c>
      <c r="H34" s="11" t="s">
        <v>29</v>
      </c>
      <c r="I34" s="12">
        <v>9621504000</v>
      </c>
      <c r="K34" s="5" t="s">
        <v>33</v>
      </c>
      <c r="L34" s="5">
        <f>365.24/12*24</f>
        <v>730.48</v>
      </c>
    </row>
    <row r="35" spans="1:12" x14ac:dyDescent="0.2">
      <c r="A35" s="1" t="s">
        <v>21</v>
      </c>
      <c r="B35" s="50">
        <f>VLOOKUP('SiLK Provisioning Tool'!$B$4,$K$13:$L$15,2,0)</f>
        <v>1</v>
      </c>
      <c r="C35" s="37" t="s">
        <v>22</v>
      </c>
      <c r="H35" s="11" t="s">
        <v>32</v>
      </c>
      <c r="I35" s="12">
        <v>38486016000</v>
      </c>
      <c r="K35" s="5" t="s">
        <v>103</v>
      </c>
      <c r="L35" s="5">
        <f>365.24*24</f>
        <v>8765.76</v>
      </c>
    </row>
    <row r="36" spans="1:12" x14ac:dyDescent="0.2">
      <c r="A36" s="1" t="s">
        <v>25</v>
      </c>
      <c r="B36" s="27">
        <f ca="1">OFFSET($K$19,0,1+'SiLK Provisioning Tool'!$B$11*2+$B$35)</f>
        <v>26</v>
      </c>
      <c r="C36" s="37" t="s">
        <v>26</v>
      </c>
      <c r="H36" s="11" t="s">
        <v>36</v>
      </c>
      <c r="I36" s="12">
        <v>153944064000</v>
      </c>
    </row>
    <row r="37" spans="1:12" x14ac:dyDescent="0.2">
      <c r="A37" s="1" t="s">
        <v>28</v>
      </c>
      <c r="B37" s="27">
        <f ca="1">OFFSET($K$20,0,1+'SiLK Provisioning Tool'!$B$11*2+$B$35)</f>
        <v>28</v>
      </c>
      <c r="H37" s="39" t="s">
        <v>74</v>
      </c>
      <c r="I37" s="12">
        <v>1000000000</v>
      </c>
    </row>
    <row r="38" spans="1:12" x14ac:dyDescent="0.2">
      <c r="A38" s="37" t="s">
        <v>31</v>
      </c>
      <c r="B38">
        <f ca="1">$B$36*$B$12 + $B$37*(1 - $B$12)</f>
        <v>27.8</v>
      </c>
      <c r="H38" s="30" t="s">
        <v>39</v>
      </c>
      <c r="I38" s="12">
        <v>10000000000</v>
      </c>
      <c r="K38" s="1" t="s">
        <v>43</v>
      </c>
    </row>
    <row r="39" spans="1:12" x14ac:dyDescent="0.2">
      <c r="A39" s="1" t="s">
        <v>34</v>
      </c>
      <c r="B39" s="1">
        <f ca="1">$B$28*$B$38</f>
        <v>204602.99291610718</v>
      </c>
      <c r="C39" s="37" t="s">
        <v>35</v>
      </c>
      <c r="H39" s="30" t="s">
        <v>42</v>
      </c>
      <c r="I39" s="12">
        <v>100000000000</v>
      </c>
      <c r="K39" s="30" t="s">
        <v>4</v>
      </c>
      <c r="L39" s="30">
        <v>1</v>
      </c>
    </row>
    <row r="40" spans="1:12" x14ac:dyDescent="0.2">
      <c r="A40" s="1" t="s">
        <v>37</v>
      </c>
      <c r="B40" s="1">
        <f ca="1">$B$39*IF($B$4,$B$19,1)</f>
        <v>102301.49645805359</v>
      </c>
      <c r="K40" s="30" t="s">
        <v>46</v>
      </c>
      <c r="L40" s="30">
        <v>60</v>
      </c>
    </row>
    <row r="41" spans="1:12" x14ac:dyDescent="0.2">
      <c r="A41" s="1" t="s">
        <v>38</v>
      </c>
      <c r="B41" s="1">
        <f ca="1">$B$40*3600</f>
        <v>368285387.24899292</v>
      </c>
      <c r="K41" s="30" t="s">
        <v>48</v>
      </c>
      <c r="L41" s="30">
        <v>3600</v>
      </c>
    </row>
    <row r="42" spans="1:12" x14ac:dyDescent="0.2">
      <c r="A42" s="1" t="s">
        <v>180</v>
      </c>
      <c r="B42" s="1">
        <f ca="1">B30*$B$38</f>
        <v>13579.773044586182</v>
      </c>
      <c r="C42" s="37" t="s">
        <v>35</v>
      </c>
      <c r="K42" s="29" t="s">
        <v>50</v>
      </c>
      <c r="L42" s="5">
        <f>24*3600</f>
        <v>86400</v>
      </c>
    </row>
    <row r="43" spans="1:12" x14ac:dyDescent="0.2">
      <c r="A43" s="1" t="s">
        <v>181</v>
      </c>
      <c r="B43" s="1">
        <f ca="1">$B$42*IF($B$4,$B$19,1)</f>
        <v>6789.8865222930908</v>
      </c>
      <c r="K43" s="29" t="s">
        <v>51</v>
      </c>
      <c r="L43" s="5">
        <f>$L33*3600</f>
        <v>604800</v>
      </c>
    </row>
    <row r="44" spans="1:12" x14ac:dyDescent="0.2">
      <c r="A44" s="1" t="s">
        <v>182</v>
      </c>
      <c r="B44" s="1">
        <f ca="1">$B$43*3600</f>
        <v>24443591.480255127</v>
      </c>
      <c r="K44" s="29" t="s">
        <v>53</v>
      </c>
      <c r="L44" s="5">
        <f>$L34*3600</f>
        <v>2629728</v>
      </c>
    </row>
    <row r="45" spans="1:12" x14ac:dyDescent="0.2">
      <c r="A45" s="1" t="s">
        <v>40</v>
      </c>
      <c r="B45" s="27">
        <f ca="1">OFFSET($K$25,0,1+'SiLK Provisioning Tool'!$B$11*2+$B$35)</f>
        <v>52</v>
      </c>
      <c r="C45" s="37" t="s">
        <v>41</v>
      </c>
      <c r="K45" s="29" t="s">
        <v>54</v>
      </c>
      <c r="L45" s="5">
        <f>$L35*3600</f>
        <v>31556736</v>
      </c>
    </row>
    <row r="46" spans="1:12" x14ac:dyDescent="0.2">
      <c r="A46" s="1" t="s">
        <v>44</v>
      </c>
      <c r="B46" s="36">
        <f ca="1">OFFSET($K$26,0,1+'SiLK Provisioning Tool'!$B$11*2+$B$35)</f>
        <v>56</v>
      </c>
    </row>
    <row r="47" spans="1:12" x14ac:dyDescent="0.2">
      <c r="A47" s="1" t="s">
        <v>45</v>
      </c>
      <c r="B47" s="32">
        <f ca="1">$B$45*$B$34 + $B$46*(1-$B$34)</f>
        <v>54.679999999999993</v>
      </c>
    </row>
    <row r="48" spans="1:12" x14ac:dyDescent="0.2">
      <c r="A48" s="1" t="s">
        <v>47</v>
      </c>
      <c r="B48" s="1">
        <f ca="1">$B$33*$B$47</f>
        <v>328.07999999999993</v>
      </c>
    </row>
    <row r="49" spans="1:3" x14ac:dyDescent="0.2">
      <c r="A49" s="1" t="s">
        <v>164</v>
      </c>
      <c r="B49" s="1">
        <f ca="1">($B$41+$B$48)*168</f>
        <v>61872000175.270805</v>
      </c>
      <c r="C49" s="37" t="s">
        <v>49</v>
      </c>
    </row>
    <row r="50" spans="1:3" x14ac:dyDescent="0.2">
      <c r="A50" s="1" t="s">
        <v>163</v>
      </c>
      <c r="B50" s="1">
        <f>$D$5</f>
        <v>10957.2</v>
      </c>
      <c r="C50" s="37"/>
    </row>
    <row r="51" spans="1:3" x14ac:dyDescent="0.2">
      <c r="A51" s="1" t="s">
        <v>165</v>
      </c>
      <c r="B51" s="1">
        <f>D5/168</f>
        <v>65.221428571428575</v>
      </c>
      <c r="C51"/>
    </row>
    <row r="52" spans="1:3" x14ac:dyDescent="0.2">
      <c r="A52" s="1" t="s">
        <v>166</v>
      </c>
      <c r="B52" s="50">
        <f>'SiLK Provisioning Tool'!B15</f>
        <v>2</v>
      </c>
      <c r="C52"/>
    </row>
    <row r="53" spans="1:3" x14ac:dyDescent="0.2">
      <c r="A53" s="1" t="s">
        <v>167</v>
      </c>
      <c r="B53" s="1">
        <f ca="1">168*B44</f>
        <v>4106523368.6828613</v>
      </c>
      <c r="C53"/>
    </row>
    <row r="54" spans="1:3" x14ac:dyDescent="0.2">
      <c r="A54" s="1" t="s">
        <v>52</v>
      </c>
      <c r="B54" s="1">
        <f ca="1">B51*B49+(SQRT(B51)*B53*B52)</f>
        <v>4101708628791.4185</v>
      </c>
      <c r="C54"/>
    </row>
    <row r="56" spans="1:3" x14ac:dyDescent="0.2">
      <c r="A56" t="s">
        <v>55</v>
      </c>
      <c r="B56" s="65">
        <f>VLOOKUP('SiLK Provisioning Tool'!$B$5,$N$30:$O$31,2,0)</f>
        <v>1</v>
      </c>
      <c r="C56" s="38" t="s">
        <v>22</v>
      </c>
    </row>
    <row r="57" spans="1:3" x14ac:dyDescent="0.2">
      <c r="A57" s="1" t="s">
        <v>56</v>
      </c>
      <c r="B57" s="1">
        <f ca="1">OFFSET($K$21,0,1+'SiLK Provisioning Tool'!$B$11*2+$B$35)</f>
        <v>38</v>
      </c>
      <c r="C57" s="38" t="s">
        <v>26</v>
      </c>
    </row>
    <row r="58" spans="1:3" x14ac:dyDescent="0.2">
      <c r="A58" t="s">
        <v>57</v>
      </c>
      <c r="B58" s="27">
        <f ca="1">OFFSET($K$27,0,1+'SiLK Provisioning Tool'!$B$11*2+$B$35)</f>
        <v>76</v>
      </c>
      <c r="C58" s="38" t="s">
        <v>41</v>
      </c>
    </row>
    <row r="59" spans="1:3" x14ac:dyDescent="0.2">
      <c r="A59" t="s">
        <v>58</v>
      </c>
      <c r="B59">
        <f ca="1">$B$38</f>
        <v>27.8</v>
      </c>
      <c r="C59"/>
    </row>
    <row r="60" spans="1:3" x14ac:dyDescent="0.2">
      <c r="A60" t="s">
        <v>59</v>
      </c>
      <c r="B60" s="32">
        <f ca="1">$B$47</f>
        <v>54.679999999999993</v>
      </c>
    </row>
    <row r="61" spans="1:3" x14ac:dyDescent="0.2">
      <c r="A61" t="s">
        <v>60</v>
      </c>
      <c r="B61">
        <f ca="1">IF($B$56,$B$59, $B$57)</f>
        <v>27.8</v>
      </c>
    </row>
    <row r="62" spans="1:3" x14ac:dyDescent="0.2">
      <c r="A62" s="1" t="s">
        <v>61</v>
      </c>
      <c r="B62" s="36">
        <f ca="1">IF($B$56,$B$60,$B$58)</f>
        <v>54.679999999999993</v>
      </c>
    </row>
    <row r="63" spans="1:3" x14ac:dyDescent="0.2">
      <c r="A63" s="1" t="s">
        <v>62</v>
      </c>
      <c r="B63" s="36">
        <f>VLOOKUP('SiLK Provisioning Tool'!$B$5,$N$30:$P$31,3,0)</f>
        <v>180</v>
      </c>
      <c r="C63" s="37" t="s">
        <v>63</v>
      </c>
    </row>
    <row r="64" spans="1:3" x14ac:dyDescent="0.2">
      <c r="B64" s="36"/>
    </row>
    <row r="65" spans="1:3" x14ac:dyDescent="0.2">
      <c r="A65" s="1" t="s">
        <v>172</v>
      </c>
      <c r="B65" s="36">
        <f ca="1">$B$28*$B$61*IF($B$4,$B$19,1)</f>
        <v>102301.49645805359</v>
      </c>
      <c r="C65" s="37" t="s">
        <v>64</v>
      </c>
    </row>
    <row r="66" spans="1:3" x14ac:dyDescent="0.2">
      <c r="A66" s="1" t="s">
        <v>173</v>
      </c>
      <c r="B66" s="36">
        <f ca="1">B62*B63</f>
        <v>9842.3999999999978</v>
      </c>
      <c r="C66" s="37"/>
    </row>
    <row r="67" spans="1:3" x14ac:dyDescent="0.2">
      <c r="A67" s="1" t="s">
        <v>174</v>
      </c>
      <c r="B67" s="60">
        <f>(1+$B$21)</f>
        <v>1.1000000000000001</v>
      </c>
      <c r="C67" s="37"/>
    </row>
    <row r="68" spans="1:3" x14ac:dyDescent="0.2">
      <c r="A68" s="1" t="s">
        <v>175</v>
      </c>
      <c r="B68" s="36">
        <f ca="1">(B65+B66)*B67</f>
        <v>123358.28610385895</v>
      </c>
      <c r="C68" s="37"/>
    </row>
    <row r="69" spans="1:3" x14ac:dyDescent="0.2">
      <c r="A69" s="1" t="s">
        <v>171</v>
      </c>
      <c r="B69" s="50">
        <f>'SiLK Provisioning Tool'!B15</f>
        <v>2</v>
      </c>
    </row>
    <row r="70" spans="1:3" x14ac:dyDescent="0.2">
      <c r="A70" s="1" t="s">
        <v>183</v>
      </c>
      <c r="B70" s="1">
        <f ca="1">($B$30*$B$61*IF($B$4,$B$19,1))*B67</f>
        <v>7468.8751745224008</v>
      </c>
      <c r="C70" s="37"/>
    </row>
    <row r="71" spans="1:3" x14ac:dyDescent="0.2">
      <c r="A71" s="1" t="s">
        <v>65</v>
      </c>
      <c r="B71" s="1">
        <f ca="1">B68+B69*B70</f>
        <v>138296.03645290376</v>
      </c>
    </row>
    <row r="73" spans="1:3" x14ac:dyDescent="0.2">
      <c r="A73" s="1" t="s">
        <v>66</v>
      </c>
      <c r="B73" s="1">
        <f ca="1">$B$23*$B$61*IF($B$4,$B$19,1)</f>
        <v>377765.33131599426</v>
      </c>
      <c r="C73" s="37" t="s">
        <v>64</v>
      </c>
    </row>
    <row r="74" spans="1:3" x14ac:dyDescent="0.2">
      <c r="A74" s="1" t="s">
        <v>173</v>
      </c>
      <c r="B74" s="36">
        <f ca="1">B62*B63</f>
        <v>9842.3999999999978</v>
      </c>
      <c r="C74" s="37"/>
    </row>
    <row r="75" spans="1:3" x14ac:dyDescent="0.2">
      <c r="A75" s="1" t="s">
        <v>174</v>
      </c>
      <c r="B75" s="60">
        <f>(1+$B$21)</f>
        <v>1.1000000000000001</v>
      </c>
      <c r="C75" s="37"/>
    </row>
    <row r="76" spans="1:3" x14ac:dyDescent="0.2">
      <c r="A76" s="1" t="s">
        <v>177</v>
      </c>
      <c r="B76" s="36">
        <f ca="1">(B73+B74)*B75</f>
        <v>426368.50444759376</v>
      </c>
      <c r="C76" s="37"/>
    </row>
    <row r="77" spans="1:3" x14ac:dyDescent="0.2">
      <c r="A77" s="1" t="s">
        <v>171</v>
      </c>
      <c r="B77" s="50">
        <f>'SiLK Provisioning Tool'!B15</f>
        <v>2</v>
      </c>
    </row>
    <row r="78" spans="1:3" x14ac:dyDescent="0.2">
      <c r="A78" s="1" t="s">
        <v>183</v>
      </c>
      <c r="B78" s="1">
        <f ca="1">($B$25*$B$61*IF($B$4,$B$19,1))*B75</f>
        <v>99027.136402130142</v>
      </c>
      <c r="C78" s="37"/>
    </row>
    <row r="79" spans="1:3" x14ac:dyDescent="0.2">
      <c r="A79" s="1" t="s">
        <v>67</v>
      </c>
      <c r="B79" s="1">
        <f ca="1">B76+B77*B78</f>
        <v>624422.77725185407</v>
      </c>
    </row>
    <row r="80" spans="1:3" x14ac:dyDescent="0.2">
      <c r="C80" s="37"/>
    </row>
    <row r="81" spans="3:3" x14ac:dyDescent="0.2">
      <c r="C81" s="37"/>
    </row>
  </sheetData>
  <sheetProtection selectLockedCells="1" selectUnlockedCell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EmailTo xmlns="http://schemas.microsoft.com/sharepoint/v3" xsi:nil="true"/>
    <EmailSender xmlns="http://schemas.microsoft.com/sharepoint/v3" xsi:nil="true"/>
    <EmailFrom xmlns="http://schemas.microsoft.com/sharepoint/v3" xsi:nil="true"/>
    <EmailSubject xmlns="http://schemas.microsoft.com/sharepoint/v3" xsi:nil="true"/>
    <EmailCc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D47F24881C6641AA14C562F0FF91EC" ma:contentTypeVersion="6" ma:contentTypeDescription="Create a new document." ma:contentTypeScope="" ma:versionID="6187f1a78d1ca6d7bf1b5eecc755ea3d">
  <xsd:schema xmlns:xsd="http://www.w3.org/2001/XMLSchema" xmlns:p="http://schemas.microsoft.com/office/2006/metadata/properties" xmlns:ns1="http://schemas.microsoft.com/sharepoint/v3" targetNamespace="http://schemas.microsoft.com/office/2006/metadata/properties" ma:root="true" ma:fieldsID="e8b3f0ef91d77bea37538ed0ee8b382f" ns1:_="">
    <xsd:import namespace="http://schemas.microsoft.com/sharepoint/v3"/>
    <xsd:element name="properties">
      <xsd:complexType>
        <xsd:sequence>
          <xsd:element name="documentManagement">
            <xsd:complexType>
              <xsd:all>
                <xsd:element ref="ns1:EmailSender" minOccurs="0"/>
                <xsd:element ref="ns1:EmailTo" minOccurs="0"/>
                <xsd:element ref="ns1:EmailCc" minOccurs="0"/>
                <xsd:element ref="ns1:EmailFrom" minOccurs="0"/>
                <xsd:element ref="ns1:EmailSubject"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EmailSender" ma:index="8" nillable="true" ma:displayName="E-Mail Sender" ma:hidden="true" ma:internalName="EmailSender">
      <xsd:simpleType>
        <xsd:restriction base="dms:Note"/>
      </xsd:simpleType>
    </xsd:element>
    <xsd:element name="EmailTo" ma:index="9" nillable="true" ma:displayName="E-Mail To" ma:hidden="true" ma:internalName="EmailTo">
      <xsd:simpleType>
        <xsd:restriction base="dms:Note"/>
      </xsd:simpleType>
    </xsd:element>
    <xsd:element name="EmailCc" ma:index="10" nillable="true" ma:displayName="E-Mail Cc" ma:hidden="true" ma:internalName="EmailCc">
      <xsd:simpleType>
        <xsd:restriction base="dms:Note"/>
      </xsd:simpleType>
    </xsd:element>
    <xsd:element name="EmailFrom" ma:index="11" nillable="true" ma:displayName="E-Mail From" ma:hidden="true" ma:internalName="EmailFrom">
      <xsd:simpleType>
        <xsd:restriction base="dms:Text"/>
      </xsd:simpleType>
    </xsd:element>
    <xsd:element name="EmailSubject" ma:index="12" nillable="true" ma:displayName="E-Mail Subject" ma:hidden="true" ma:internalName="EmailSubjec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E04F386-85FD-4BE6-97AF-9B5B78D3D91C}">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microsoft.com/sharepoint/v3"/>
    <ds:schemaRef ds:uri="http://schemas.openxmlformats.org/package/2006/metadata/core-properties"/>
  </ds:schemaRefs>
</ds:datastoreItem>
</file>

<file path=customXml/itemProps2.xml><?xml version="1.0" encoding="utf-8"?>
<ds:datastoreItem xmlns:ds="http://schemas.openxmlformats.org/officeDocument/2006/customXml" ds:itemID="{E7AE3DD7-A506-4BE1-AE44-159C64AD2FC3}">
  <ds:schemaRefs>
    <ds:schemaRef ds:uri="http://schemas.microsoft.com/sharepoint/v3/contenttype/forms"/>
  </ds:schemaRefs>
</ds:datastoreItem>
</file>

<file path=customXml/itemProps3.xml><?xml version="1.0" encoding="utf-8"?>
<ds:datastoreItem xmlns:ds="http://schemas.openxmlformats.org/officeDocument/2006/customXml" ds:itemID="{0111B8A7-1EFA-4C3A-89CC-FBC0CECD5A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SiLK Provisioning Tool</vt:lpstr>
      <vt:lpstr>Calculations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NetSA-2011-11 SiLK-Provisioning Tool Worksheet v3</dc:title>
  <dc:creator>tdsnoke</dc:creator>
  <cp:lastModifiedBy>chris</cp:lastModifiedBy>
  <dcterms:created xsi:type="dcterms:W3CDTF">2010-06-04T19:43:59Z</dcterms:created>
  <dcterms:modified xsi:type="dcterms:W3CDTF">2020-01-13T20:45:27Z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0x01010085D47F24881C6641AA14C562F0FF91EC</vt:lpwstr>
  </property>
</Properties>
</file>