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hristopher\Desktop\Career\Websitestuff\websiteportfolio\exceletc\"/>
    </mc:Choice>
  </mc:AlternateContent>
  <bookViews>
    <workbookView xWindow="0" yWindow="0" windowWidth="24000" windowHeight="9735" activeTab="1"/>
  </bookViews>
  <sheets>
    <sheet name="SumaryMP1516" sheetId="1" r:id="rId1"/>
    <sheet name="SummaryHR1516" sheetId="2" r:id="rId2"/>
    <sheet name="CWU" sheetId="4" r:id="rId3"/>
    <sheet name="EWU" sheetId="5" r:id="rId4"/>
    <sheet name="ESC" sheetId="6" r:id="rId5"/>
    <sheet name="SMU" sheetId="7" r:id="rId6"/>
    <sheet name="SPU" sheetId="22" r:id="rId7"/>
    <sheet name="UPS" sheetId="8" r:id="rId8"/>
    <sheet name="UW-B" sheetId="24" r:id="rId9"/>
    <sheet name="UW-S" sheetId="10" r:id="rId10"/>
    <sheet name="UW-T" sheetId="11" r:id="rId11"/>
    <sheet name="WSU" sheetId="12" r:id="rId12"/>
    <sheet name="WWU" sheetId="13" r:id="rId13"/>
    <sheet name="GU" sheetId="14" r:id="rId14"/>
    <sheet name="SU" sheetId="15" r:id="rId15"/>
    <sheet name="CSMB" sheetId="17" r:id="rId16"/>
    <sheet name="MSU-B" sheetId="25" r:id="rId17"/>
    <sheet name="FSU" sheetId="9" r:id="rId18"/>
    <sheet name="RU-C" sheetId="18" r:id="rId19"/>
    <sheet name="UIS" sheetId="19" r:id="rId20"/>
    <sheet name="UMW" sheetId="20" r:id="rId21"/>
    <sheet name="UWP" sheetId="23" r:id="rId22"/>
    <sheet name="BU" sheetId="21" r:id="rId23"/>
  </sheets>
  <calcPr calcId="152511"/>
</workbook>
</file>

<file path=xl/calcChain.xml><?xml version="1.0" encoding="utf-8"?>
<calcChain xmlns="http://schemas.openxmlformats.org/spreadsheetml/2006/main">
  <c r="E44" i="18" l="1"/>
  <c r="E43" i="18"/>
  <c r="E42" i="18"/>
  <c r="E40" i="18"/>
  <c r="E54" i="18" s="1"/>
  <c r="C16" i="1" s="1"/>
  <c r="E41" i="18"/>
  <c r="H6" i="7"/>
  <c r="H5" i="7"/>
  <c r="I5" i="7"/>
  <c r="H21" i="7"/>
  <c r="H35" i="7" s="1"/>
  <c r="I9" i="2" s="1"/>
  <c r="H4" i="7"/>
  <c r="I4" i="7"/>
  <c r="H3" i="7"/>
  <c r="H17" i="7" s="1"/>
  <c r="F9" i="2" s="1"/>
  <c r="I3" i="7"/>
  <c r="I17" i="7" s="1"/>
  <c r="G9" i="2" s="1"/>
  <c r="B3" i="7"/>
  <c r="B17" i="7" s="1"/>
  <c r="C9" i="2" s="1"/>
  <c r="C3" i="7"/>
  <c r="C17" i="7" s="1"/>
  <c r="D9" i="2" s="1"/>
  <c r="E43" i="7"/>
  <c r="E42" i="7"/>
  <c r="E41" i="7"/>
  <c r="E40" i="7"/>
  <c r="E54" i="7" s="1"/>
  <c r="C7" i="1" s="1"/>
  <c r="I17" i="18"/>
  <c r="G21" i="2" s="1"/>
  <c r="I3" i="18"/>
  <c r="I28" i="18"/>
  <c r="I27" i="18"/>
  <c r="I26" i="18"/>
  <c r="I25" i="18"/>
  <c r="I24" i="18"/>
  <c r="H23" i="18"/>
  <c r="H35" i="18" s="1"/>
  <c r="I21" i="2" s="1"/>
  <c r="I22" i="18"/>
  <c r="I21" i="18"/>
  <c r="I35" i="18" s="1"/>
  <c r="J21" i="2" s="1"/>
  <c r="I35" i="11"/>
  <c r="J13" i="2" s="1"/>
  <c r="K13" i="2" s="1"/>
  <c r="L13" i="2" s="1"/>
  <c r="K9" i="2" l="1"/>
  <c r="L9" i="2" s="1"/>
  <c r="K21" i="2"/>
  <c r="L21" i="2" s="1"/>
  <c r="C7" i="14"/>
  <c r="I5" i="14"/>
  <c r="H21" i="9"/>
  <c r="H23" i="9"/>
  <c r="K64" i="2"/>
  <c r="B68" i="2" l="1"/>
  <c r="L53" i="2"/>
  <c r="E45" i="25"/>
  <c r="E44" i="25"/>
  <c r="E43" i="25"/>
  <c r="E42" i="25"/>
  <c r="E41" i="25"/>
  <c r="E40" i="25"/>
  <c r="E54" i="25" s="1"/>
  <c r="C15" i="1" s="1"/>
  <c r="B3" i="25"/>
  <c r="B17" i="25" s="1"/>
  <c r="C20" i="2" s="1"/>
  <c r="C3" i="25"/>
  <c r="C17" i="25" s="1"/>
  <c r="D20" i="2" s="1"/>
  <c r="J53" i="2"/>
  <c r="E53" i="2"/>
  <c r="H53" i="2"/>
  <c r="G53" i="2"/>
  <c r="F53" i="2"/>
  <c r="D53" i="2"/>
  <c r="C53" i="2"/>
  <c r="E54" i="9"/>
  <c r="C14" i="1" s="1"/>
  <c r="E54" i="15"/>
  <c r="C23" i="1" s="1"/>
  <c r="I35" i="13"/>
  <c r="J15" i="2" s="1"/>
  <c r="H35" i="13"/>
  <c r="I15" i="2" s="1"/>
  <c r="E54" i="12"/>
  <c r="C12" i="1" s="1"/>
  <c r="E54" i="10"/>
  <c r="E53" i="10"/>
  <c r="E52" i="10"/>
  <c r="E49" i="10"/>
  <c r="E50" i="10"/>
  <c r="E51" i="10"/>
  <c r="E48" i="10"/>
  <c r="E47" i="10"/>
  <c r="E46" i="10"/>
  <c r="E45" i="10"/>
  <c r="E44" i="10"/>
  <c r="E43" i="10"/>
  <c r="E42" i="10"/>
  <c r="E59" i="10" s="1"/>
  <c r="C10" i="1" s="1"/>
  <c r="E47" i="21"/>
  <c r="E46" i="21"/>
  <c r="E45" i="21"/>
  <c r="E44" i="21"/>
  <c r="E43" i="21"/>
  <c r="E42" i="21"/>
  <c r="E41" i="21"/>
  <c r="E40" i="21"/>
  <c r="E54" i="21" s="1"/>
  <c r="C20" i="1" s="1"/>
  <c r="H9" i="21"/>
  <c r="I8" i="21"/>
  <c r="H8" i="21"/>
  <c r="I7" i="21"/>
  <c r="H7" i="21"/>
  <c r="H6" i="21"/>
  <c r="J5" i="21"/>
  <c r="I5" i="21"/>
  <c r="H5" i="21"/>
  <c r="J4" i="21"/>
  <c r="J17" i="21" s="1"/>
  <c r="H25" i="2" s="1"/>
  <c r="H55" i="2" s="1"/>
  <c r="I4" i="21"/>
  <c r="I17" i="21" s="1"/>
  <c r="G25" i="2" s="1"/>
  <c r="H4" i="21"/>
  <c r="H3" i="21"/>
  <c r="H17" i="21" s="1"/>
  <c r="F25" i="2" s="1"/>
  <c r="D3" i="21"/>
  <c r="D17" i="21" s="1"/>
  <c r="E25" i="2" s="1"/>
  <c r="C3" i="21"/>
  <c r="C17" i="21" s="1"/>
  <c r="D25" i="2" s="1"/>
  <c r="B3" i="21"/>
  <c r="B17" i="21" s="1"/>
  <c r="C25" i="2" s="1"/>
  <c r="H26" i="21"/>
  <c r="H25" i="21"/>
  <c r="H24" i="21"/>
  <c r="J23" i="21"/>
  <c r="J35" i="21" s="1"/>
  <c r="I23" i="21"/>
  <c r="I35" i="21" s="1"/>
  <c r="J25" i="2" s="1"/>
  <c r="H23" i="21"/>
  <c r="H22" i="21"/>
  <c r="H21" i="21"/>
  <c r="H4" i="23"/>
  <c r="H17" i="23" s="1"/>
  <c r="F24" i="2" s="1"/>
  <c r="I3" i="23"/>
  <c r="I17" i="23" s="1"/>
  <c r="G24" i="2" s="1"/>
  <c r="H23" i="23"/>
  <c r="H35" i="23" s="1"/>
  <c r="I24" i="2" s="1"/>
  <c r="I22" i="23"/>
  <c r="I21" i="23"/>
  <c r="I35" i="23" s="1"/>
  <c r="J24" i="2" s="1"/>
  <c r="B3" i="23"/>
  <c r="B17" i="23" s="1"/>
  <c r="C24" i="2" s="1"/>
  <c r="C3" i="23"/>
  <c r="C17" i="23" s="1"/>
  <c r="D24" i="2" s="1"/>
  <c r="E46" i="23"/>
  <c r="E45" i="23"/>
  <c r="E44" i="23"/>
  <c r="E43" i="23"/>
  <c r="E42" i="23"/>
  <c r="E41" i="23"/>
  <c r="E40" i="23"/>
  <c r="E54" i="23" s="1"/>
  <c r="C19" i="1" s="1"/>
  <c r="E44" i="20"/>
  <c r="E45" i="20"/>
  <c r="E46" i="20"/>
  <c r="E43" i="20"/>
  <c r="E42" i="20"/>
  <c r="E41" i="20"/>
  <c r="E40" i="20"/>
  <c r="E54" i="20" s="1"/>
  <c r="C18" i="1" s="1"/>
  <c r="I17" i="20"/>
  <c r="I3" i="20"/>
  <c r="E17" i="20"/>
  <c r="I21" i="20"/>
  <c r="I35" i="20" s="1"/>
  <c r="J23" i="2" s="1"/>
  <c r="H21" i="20"/>
  <c r="H35" i="20" s="1"/>
  <c r="I23" i="2" s="1"/>
  <c r="E9" i="20"/>
  <c r="D8" i="20"/>
  <c r="D17" i="20" s="1"/>
  <c r="E23" i="2" s="1"/>
  <c r="C7" i="20"/>
  <c r="B6" i="20"/>
  <c r="C5" i="20"/>
  <c r="B5" i="20"/>
  <c r="B4" i="20"/>
  <c r="C3" i="20"/>
  <c r="C17" i="20" s="1"/>
  <c r="D23" i="2" s="1"/>
  <c r="B3" i="20"/>
  <c r="B17" i="20" s="1"/>
  <c r="C23" i="2" s="1"/>
  <c r="E46" i="17"/>
  <c r="E45" i="17"/>
  <c r="E44" i="17"/>
  <c r="E43" i="17"/>
  <c r="E42" i="17"/>
  <c r="E41" i="17"/>
  <c r="E40" i="17"/>
  <c r="E54" i="17" s="1"/>
  <c r="C13" i="1" s="1"/>
  <c r="E44" i="14"/>
  <c r="E43" i="14"/>
  <c r="E42" i="14"/>
  <c r="E41" i="14"/>
  <c r="E40" i="14"/>
  <c r="E54" i="14" s="1"/>
  <c r="C22" i="1" s="1"/>
  <c r="I3" i="14"/>
  <c r="C8" i="14"/>
  <c r="H22" i="14"/>
  <c r="H21" i="14"/>
  <c r="H35" i="14" s="1"/>
  <c r="I16" i="2" s="1"/>
  <c r="B6" i="14"/>
  <c r="C6" i="14"/>
  <c r="I4" i="14"/>
  <c r="B5" i="14"/>
  <c r="C5" i="14"/>
  <c r="H3" i="14"/>
  <c r="H17" i="14" s="1"/>
  <c r="F16" i="2" s="1"/>
  <c r="B4" i="14"/>
  <c r="C4" i="14"/>
  <c r="B3" i="14"/>
  <c r="B17" i="14" s="1"/>
  <c r="C16" i="2" s="1"/>
  <c r="C3" i="14"/>
  <c r="C17" i="14" s="1"/>
  <c r="D16" i="2" s="1"/>
  <c r="H3" i="13"/>
  <c r="H17" i="13" s="1"/>
  <c r="F15" i="2" s="1"/>
  <c r="B3" i="13"/>
  <c r="B17" i="13" s="1"/>
  <c r="C15" i="2" s="1"/>
  <c r="D3" i="13"/>
  <c r="D17" i="13" s="1"/>
  <c r="E15" i="2" s="1"/>
  <c r="C3" i="13"/>
  <c r="C17" i="13" s="1"/>
  <c r="D15" i="2" s="1"/>
  <c r="E43" i="13"/>
  <c r="E42" i="13"/>
  <c r="E41" i="13"/>
  <c r="E40" i="13"/>
  <c r="E54" i="13" s="1"/>
  <c r="C21" i="1" s="1"/>
  <c r="C28" i="1" s="1"/>
  <c r="E44" i="8"/>
  <c r="E43" i="8"/>
  <c r="E42" i="8"/>
  <c r="E41" i="8"/>
  <c r="E40" i="8"/>
  <c r="E54" i="8" s="1"/>
  <c r="C9" i="1" s="1"/>
  <c r="J22" i="8"/>
  <c r="J35" i="8" s="1"/>
  <c r="I22" i="8"/>
  <c r="H21" i="8"/>
  <c r="H35" i="8" s="1"/>
  <c r="I11" i="2" s="1"/>
  <c r="I21" i="8"/>
  <c r="I35" i="8" s="1"/>
  <c r="J11" i="2" s="1"/>
  <c r="B4" i="8"/>
  <c r="B17" i="8" s="1"/>
  <c r="C11" i="2" s="1"/>
  <c r="D3" i="8"/>
  <c r="D17" i="8" s="1"/>
  <c r="E11" i="2" s="1"/>
  <c r="C3" i="8"/>
  <c r="C17" i="8" s="1"/>
  <c r="D11" i="2" s="1"/>
  <c r="E43" i="4"/>
  <c r="E42" i="4"/>
  <c r="E41" i="4"/>
  <c r="E40" i="4"/>
  <c r="E54" i="4" s="1"/>
  <c r="C4" i="1" s="1"/>
  <c r="H7" i="4"/>
  <c r="H17" i="4" s="1"/>
  <c r="F6" i="2" s="1"/>
  <c r="I6" i="4"/>
  <c r="C9" i="4"/>
  <c r="I5" i="4"/>
  <c r="I17" i="4" s="1"/>
  <c r="G6" i="2" s="1"/>
  <c r="J4" i="4"/>
  <c r="B8" i="4"/>
  <c r="B7" i="4"/>
  <c r="C6" i="4"/>
  <c r="J3" i="4"/>
  <c r="J17" i="4" s="1"/>
  <c r="H6" i="2" s="1"/>
  <c r="B5" i="4"/>
  <c r="B4" i="4"/>
  <c r="B17" i="4" s="1"/>
  <c r="C6" i="2" s="1"/>
  <c r="C3" i="4"/>
  <c r="C17" i="4" s="1"/>
  <c r="D6" i="2" s="1"/>
  <c r="H35" i="21" l="1"/>
  <c r="I25" i="2" s="1"/>
  <c r="K16" i="2"/>
  <c r="F57" i="2"/>
  <c r="K20" i="2"/>
  <c r="K11" i="2"/>
  <c r="F55" i="2"/>
  <c r="K15" i="2"/>
  <c r="K23" i="2"/>
  <c r="G55" i="2"/>
  <c r="K24" i="2"/>
  <c r="K25" i="2"/>
  <c r="K6" i="2"/>
  <c r="I35" i="24"/>
  <c r="J26" i="2" s="1"/>
  <c r="H35" i="24"/>
  <c r="I26" i="2" s="1"/>
  <c r="K26" i="2" s="1"/>
  <c r="L26" i="2" s="1"/>
  <c r="D43" i="19"/>
  <c r="D42" i="19"/>
  <c r="D41" i="19"/>
  <c r="D40" i="19"/>
  <c r="E40" i="19"/>
  <c r="E54" i="19" s="1"/>
  <c r="C17" i="1" s="1"/>
  <c r="C26" i="1" s="1"/>
  <c r="I25" i="19"/>
  <c r="I35" i="19" s="1"/>
  <c r="J22" i="2" s="1"/>
  <c r="H24" i="19"/>
  <c r="H23" i="19"/>
  <c r="H22" i="19"/>
  <c r="H21" i="19"/>
  <c r="H35" i="19" s="1"/>
  <c r="I22" i="2" s="1"/>
  <c r="B6" i="19"/>
  <c r="C5" i="19"/>
  <c r="B4" i="19"/>
  <c r="B17" i="19" s="1"/>
  <c r="C22" i="2" s="1"/>
  <c r="K22" i="2" s="1"/>
  <c r="C3" i="19"/>
  <c r="C17" i="19" s="1"/>
  <c r="D22" i="2" s="1"/>
  <c r="H24" i="9"/>
  <c r="H22" i="9"/>
  <c r="H35" i="9" s="1"/>
  <c r="I19" i="2" s="1"/>
  <c r="C12" i="9"/>
  <c r="E11" i="9"/>
  <c r="E17" i="9" s="1"/>
  <c r="C10" i="9"/>
  <c r="C9" i="9"/>
  <c r="C8" i="9"/>
  <c r="C7" i="9"/>
  <c r="C6" i="9"/>
  <c r="B3" i="9"/>
  <c r="B17" i="9" s="1"/>
  <c r="C19" i="2" s="1"/>
  <c r="B5" i="9"/>
  <c r="B4" i="9"/>
  <c r="C3" i="9"/>
  <c r="C17" i="9" s="1"/>
  <c r="D19" i="2" s="1"/>
  <c r="E5" i="17"/>
  <c r="E17" i="17" s="1"/>
  <c r="D5" i="17"/>
  <c r="D17" i="17" s="1"/>
  <c r="E18" i="2" s="1"/>
  <c r="E55" i="2" s="1"/>
  <c r="C4" i="17"/>
  <c r="C17" i="17" s="1"/>
  <c r="D18" i="2" s="1"/>
  <c r="D55" i="2" s="1"/>
  <c r="B3" i="17"/>
  <c r="B17" i="17" s="1"/>
  <c r="C18" i="2" s="1"/>
  <c r="I24" i="17"/>
  <c r="I35" i="17" s="1"/>
  <c r="J18" i="2" s="1"/>
  <c r="J55" i="2" s="1"/>
  <c r="H23" i="17"/>
  <c r="H22" i="17"/>
  <c r="I4" i="17"/>
  <c r="I17" i="17" s="1"/>
  <c r="H3" i="17"/>
  <c r="H17" i="17" s="1"/>
  <c r="H21" i="17"/>
  <c r="H35" i="17" s="1"/>
  <c r="I18" i="2" s="1"/>
  <c r="D42" i="12"/>
  <c r="D41" i="12"/>
  <c r="D40" i="12"/>
  <c r="C55" i="2" l="1"/>
  <c r="K18" i="2"/>
  <c r="K19" i="2"/>
  <c r="I55" i="2"/>
  <c r="L24" i="2"/>
  <c r="L16" i="2"/>
  <c r="L11" i="2"/>
  <c r="L18" i="2"/>
  <c r="L23" i="2"/>
  <c r="L25" i="2"/>
  <c r="L22" i="2"/>
  <c r="L20" i="2"/>
  <c r="L15" i="2"/>
  <c r="K55" i="2"/>
  <c r="L55" i="2" s="1"/>
  <c r="L6" i="2"/>
  <c r="B15" i="12"/>
  <c r="C15" i="12"/>
  <c r="B14" i="12"/>
  <c r="C14" i="12"/>
  <c r="B13" i="12"/>
  <c r="C13" i="12"/>
  <c r="B12" i="12"/>
  <c r="C12" i="12"/>
  <c r="C11" i="12"/>
  <c r="B10" i="12"/>
  <c r="C10" i="12"/>
  <c r="C9" i="12"/>
  <c r="B8" i="12"/>
  <c r="C8" i="12"/>
  <c r="B7" i="12"/>
  <c r="C7" i="12"/>
  <c r="B6" i="12"/>
  <c r="B17" i="12"/>
  <c r="C14" i="2" s="1"/>
  <c r="C6" i="12"/>
  <c r="B5" i="12"/>
  <c r="B4" i="12"/>
  <c r="C4" i="12"/>
  <c r="B3" i="12"/>
  <c r="C3" i="12"/>
  <c r="C17" i="12" s="1"/>
  <c r="D14" i="2" s="1"/>
  <c r="L19" i="2" l="1"/>
  <c r="H26" i="12"/>
  <c r="H25" i="12"/>
  <c r="H24" i="12"/>
  <c r="H23" i="12"/>
  <c r="H22" i="12"/>
  <c r="H21" i="12"/>
  <c r="H35" i="12" l="1"/>
  <c r="I14" i="2" s="1"/>
  <c r="K14" i="2" s="1"/>
  <c r="L14" i="2" s="1"/>
  <c r="I45" i="2"/>
  <c r="K45" i="2" s="1"/>
  <c r="I52" i="2"/>
  <c r="K52" i="2" s="1"/>
  <c r="I51" i="2"/>
  <c r="K51" i="2" s="1"/>
  <c r="I50" i="2"/>
  <c r="K50" i="2" s="1"/>
  <c r="I49" i="2"/>
  <c r="K49" i="2" s="1"/>
  <c r="I48" i="2"/>
  <c r="K48" i="2" s="1"/>
  <c r="I47" i="2"/>
  <c r="K47" i="2" s="1"/>
  <c r="I46" i="2"/>
  <c r="K46" i="2" s="1"/>
  <c r="I44" i="2"/>
  <c r="K44" i="2" s="1"/>
  <c r="I43" i="2"/>
  <c r="K43" i="2" s="1"/>
  <c r="I42" i="2"/>
  <c r="K42" i="2" s="1"/>
  <c r="I41" i="2"/>
  <c r="K41" i="2" s="1"/>
  <c r="I40" i="2"/>
  <c r="K40" i="2" s="1"/>
  <c r="I39" i="2"/>
  <c r="K39" i="2" s="1"/>
  <c r="I38" i="2"/>
  <c r="K38" i="2" s="1"/>
  <c r="I37" i="2"/>
  <c r="K37" i="2" s="1"/>
  <c r="I36" i="2"/>
  <c r="K36" i="2" s="1"/>
  <c r="I34" i="2"/>
  <c r="K34" i="2" s="1"/>
  <c r="I35" i="2"/>
  <c r="K35" i="2" s="1"/>
  <c r="I33" i="2"/>
  <c r="K33" i="2" s="1"/>
  <c r="I32" i="2"/>
  <c r="K32" i="2" s="1"/>
  <c r="I31" i="2"/>
  <c r="K31" i="2" s="1"/>
  <c r="I30" i="2"/>
  <c r="K30" i="2" s="1"/>
  <c r="I29" i="2"/>
  <c r="K29" i="2" s="1"/>
  <c r="I28" i="2"/>
  <c r="K28" i="2" s="1"/>
  <c r="I27" i="2"/>
  <c r="L33" i="2" l="1"/>
  <c r="L37" i="2"/>
  <c r="L41" i="2"/>
  <c r="L46" i="2"/>
  <c r="L50" i="2"/>
  <c r="L35" i="2"/>
  <c r="L38" i="2"/>
  <c r="L42" i="2"/>
  <c r="L47" i="2"/>
  <c r="L51" i="2"/>
  <c r="L30" i="2"/>
  <c r="L31" i="2"/>
  <c r="L34" i="2"/>
  <c r="L39" i="2"/>
  <c r="L43" i="2"/>
  <c r="L48" i="2"/>
  <c r="L52" i="2"/>
  <c r="L29" i="2"/>
  <c r="K27" i="2"/>
  <c r="N53" i="2" s="1"/>
  <c r="L28" i="2"/>
  <c r="L32" i="2"/>
  <c r="L36" i="2"/>
  <c r="L40" i="2"/>
  <c r="L44" i="2"/>
  <c r="L49" i="2"/>
  <c r="L45" i="2"/>
  <c r="I54" i="2"/>
  <c r="K54" i="2" s="1"/>
  <c r="C17" i="10"/>
  <c r="D12" i="2" s="1"/>
  <c r="D17" i="10"/>
  <c r="E12" i="2" s="1"/>
  <c r="B17" i="10"/>
  <c r="C12" i="2" s="1"/>
  <c r="I37" i="10"/>
  <c r="J12" i="2" s="1"/>
  <c r="H36" i="10"/>
  <c r="H35" i="10"/>
  <c r="H34" i="10"/>
  <c r="H33" i="10"/>
  <c r="H32" i="10"/>
  <c r="E61" i="5"/>
  <c r="C5" i="1" s="1"/>
  <c r="E54" i="22"/>
  <c r="C8" i="1" s="1"/>
  <c r="C17" i="22"/>
  <c r="D10" i="2" s="1"/>
  <c r="D17" i="22"/>
  <c r="E10" i="2" s="1"/>
  <c r="I17" i="22"/>
  <c r="G10" i="2" s="1"/>
  <c r="J17" i="22"/>
  <c r="H10" i="2" s="1"/>
  <c r="K17" i="22"/>
  <c r="H17" i="22"/>
  <c r="F10" i="2" s="1"/>
  <c r="I35" i="22"/>
  <c r="J10" i="2" s="1"/>
  <c r="K35" i="22"/>
  <c r="H35" i="22"/>
  <c r="I10" i="2" s="1"/>
  <c r="C17" i="15"/>
  <c r="D17" i="2" s="1"/>
  <c r="D57" i="2" s="1"/>
  <c r="D17" i="15"/>
  <c r="E17" i="2" s="1"/>
  <c r="E57" i="2" s="1"/>
  <c r="B17" i="15"/>
  <c r="C17" i="2" s="1"/>
  <c r="I35" i="15"/>
  <c r="J17" i="2" s="1"/>
  <c r="J57" i="2" s="1"/>
  <c r="J35" i="15"/>
  <c r="H35" i="15"/>
  <c r="I17" i="2" s="1"/>
  <c r="I57" i="2" s="1"/>
  <c r="K10" i="2" l="1"/>
  <c r="L10" i="2" s="1"/>
  <c r="K17" i="2"/>
  <c r="C57" i="2"/>
  <c r="H58" i="2"/>
  <c r="H59" i="2"/>
  <c r="H56" i="2"/>
  <c r="J58" i="2"/>
  <c r="J56" i="2"/>
  <c r="J59" i="2"/>
  <c r="E58" i="2"/>
  <c r="E59" i="2"/>
  <c r="E56" i="2"/>
  <c r="H37" i="10"/>
  <c r="I12" i="2" s="1"/>
  <c r="K12" i="2" s="1"/>
  <c r="L12" i="2" s="1"/>
  <c r="L54" i="2"/>
  <c r="L27" i="2"/>
  <c r="E44" i="6"/>
  <c r="E43" i="6"/>
  <c r="E42" i="6"/>
  <c r="E41" i="6"/>
  <c r="E40" i="6"/>
  <c r="E54" i="6" s="1"/>
  <c r="C6" i="1" s="1"/>
  <c r="C29" i="1" s="1"/>
  <c r="I4" i="6"/>
  <c r="I17" i="6" s="1"/>
  <c r="G8" i="2" s="1"/>
  <c r="H3" i="6"/>
  <c r="H17" i="6" s="1"/>
  <c r="F8" i="2" s="1"/>
  <c r="H21" i="6"/>
  <c r="H35" i="6" s="1"/>
  <c r="I8" i="2" s="1"/>
  <c r="I41" i="5"/>
  <c r="I40" i="5"/>
  <c r="I39" i="5"/>
  <c r="H38" i="5"/>
  <c r="H37" i="5"/>
  <c r="H36" i="5"/>
  <c r="J35" i="5"/>
  <c r="J34" i="5"/>
  <c r="J33" i="5"/>
  <c r="J42" i="5" s="1"/>
  <c r="I32" i="5"/>
  <c r="I31" i="5"/>
  <c r="I30" i="5"/>
  <c r="H29" i="5"/>
  <c r="I28" i="5"/>
  <c r="I27" i="5"/>
  <c r="I26" i="5"/>
  <c r="I25" i="5"/>
  <c r="H24" i="5"/>
  <c r="H23" i="5"/>
  <c r="H42" i="5" s="1"/>
  <c r="C7" i="2" s="1"/>
  <c r="I22" i="5"/>
  <c r="I21" i="5"/>
  <c r="I42" i="5" s="1"/>
  <c r="D7" i="2" s="1"/>
  <c r="C27" i="1" l="1"/>
  <c r="D56" i="2"/>
  <c r="D59" i="2"/>
  <c r="D58" i="2"/>
  <c r="I56" i="2"/>
  <c r="I58" i="2"/>
  <c r="K65" i="2" s="1"/>
  <c r="I59" i="2"/>
  <c r="C58" i="2"/>
  <c r="C59" i="2"/>
  <c r="K7" i="2"/>
  <c r="C56" i="2"/>
  <c r="F58" i="2"/>
  <c r="F56" i="2"/>
  <c r="K8" i="2"/>
  <c r="L8" i="2" s="1"/>
  <c r="F59" i="2"/>
  <c r="L17" i="2"/>
  <c r="K57" i="2"/>
  <c r="L57" i="2" s="1"/>
  <c r="G59" i="2"/>
  <c r="G56" i="2"/>
  <c r="G58" i="2"/>
  <c r="L7" i="2" l="1"/>
  <c r="L58" i="2" s="1"/>
  <c r="K56" i="2"/>
  <c r="L56" i="2" s="1"/>
  <c r="K58" i="2"/>
  <c r="K59" i="2"/>
  <c r="N13" i="2" l="1"/>
  <c r="N19" i="2"/>
  <c r="N11" i="2"/>
  <c r="N6" i="2"/>
  <c r="N24" i="2"/>
  <c r="N20" i="2"/>
  <c r="N10" i="2"/>
  <c r="N16" i="2"/>
  <c r="N23" i="2"/>
  <c r="N21" i="2"/>
  <c r="N17" i="2"/>
  <c r="N8" i="2"/>
  <c r="N25" i="2"/>
  <c r="N22" i="2"/>
  <c r="L59" i="2"/>
  <c r="N7" i="2"/>
  <c r="N14" i="2"/>
  <c r="N9" i="2"/>
  <c r="N18" i="2"/>
  <c r="N26" i="2"/>
  <c r="N15" i="2"/>
  <c r="N12" i="2"/>
  <c r="M13" i="2" l="1"/>
  <c r="M8" i="2"/>
  <c r="M24" i="2"/>
  <c r="M18" i="2"/>
  <c r="M17" i="2"/>
  <c r="M11" i="2"/>
  <c r="M44" i="2"/>
  <c r="M38" i="2"/>
  <c r="M32" i="2"/>
  <c r="M36" i="2"/>
  <c r="M28" i="2"/>
  <c r="M34" i="2"/>
  <c r="M21" i="2"/>
  <c r="M20" i="2"/>
  <c r="M25" i="2"/>
  <c r="M23" i="2"/>
  <c r="M14" i="2"/>
  <c r="M45" i="2"/>
  <c r="M40" i="2"/>
  <c r="M48" i="2"/>
  <c r="M52" i="2"/>
  <c r="M51" i="2"/>
  <c r="M42" i="2"/>
  <c r="M50" i="2"/>
  <c r="M6" i="2"/>
  <c r="M22" i="2"/>
  <c r="M7" i="2"/>
  <c r="M16" i="2"/>
  <c r="M19" i="2"/>
  <c r="M39" i="2"/>
  <c r="M30" i="2"/>
  <c r="M31" i="2"/>
  <c r="M47" i="2"/>
  <c r="M37" i="2"/>
  <c r="M29" i="2"/>
  <c r="M27" i="2"/>
  <c r="M9" i="2"/>
  <c r="M15" i="2"/>
  <c r="M26" i="2"/>
  <c r="M12" i="2"/>
  <c r="M10" i="2"/>
  <c r="M35" i="2"/>
  <c r="M41" i="2"/>
  <c r="M46" i="2"/>
  <c r="M33" i="2"/>
  <c r="M43" i="2"/>
  <c r="M49" i="2"/>
</calcChain>
</file>

<file path=xl/comments1.xml><?xml version="1.0" encoding="utf-8"?>
<comments xmlns="http://schemas.openxmlformats.org/spreadsheetml/2006/main">
  <authors>
    <author>Christopher Dubois</author>
  </authors>
  <commentList>
    <comment ref="L5" authorId="0" shapeId="0">
      <text>
        <r>
          <rPr>
            <b/>
            <sz val="9"/>
            <color indexed="81"/>
            <rFont val="Tahoma"/>
            <family val="2"/>
          </rPr>
          <t>Christopher Dubois:</t>
        </r>
        <r>
          <rPr>
            <sz val="9"/>
            <color indexed="81"/>
            <rFont val="Tahoma"/>
            <family val="2"/>
          </rPr>
          <t xml:space="preserve">
using the room rate average plus the meal plan average for rows that have meal plans, and using the estimated quarterly rate for rows that do not
note: all universities discovered built in the cost of sewer, garbage, water, internet, and electricity into the cost of their housing</t>
        </r>
      </text>
    </comment>
    <comment ref="M5" authorId="0" shapeId="0">
      <text>
        <r>
          <rPr>
            <b/>
            <sz val="9"/>
            <color indexed="81"/>
            <rFont val="Tahoma"/>
            <family val="2"/>
          </rPr>
          <t>Christopher Dubois:</t>
        </r>
        <r>
          <rPr>
            <sz val="9"/>
            <color indexed="81"/>
            <rFont val="Tahoma"/>
            <family val="2"/>
          </rPr>
          <t xml:space="preserve">
using the room rate average plus the meal plan average for rows that have meal plans, and using the estimated quarterly rate for rows that do not
note: all universities discovered built in the cost of sewer, garbage, water, internet, and electricity into the cost of their housing</t>
        </r>
      </text>
    </comment>
    <comment ref="N5" authorId="0" shapeId="0">
      <text>
        <r>
          <rPr>
            <b/>
            <sz val="9"/>
            <color indexed="81"/>
            <rFont val="Tahoma"/>
            <charset val="1"/>
          </rPr>
          <t>Christopher Dubois:</t>
        </r>
        <r>
          <rPr>
            <sz val="9"/>
            <color indexed="81"/>
            <rFont val="Tahoma"/>
            <charset val="1"/>
          </rPr>
          <t xml:space="preserve">
Room rate averages are not included for OFF campus housing because they would likely be  inaccurate as universities typically pay for utilities and the like, while these outside resources typically do not</t>
        </r>
      </text>
    </comment>
    <comment ref="K64" authorId="0" shapeId="0">
      <text>
        <r>
          <rPr>
            <b/>
            <sz val="9"/>
            <color indexed="81"/>
            <rFont val="Tahoma"/>
            <family val="2"/>
          </rPr>
          <t>Christopher Dubois:</t>
        </r>
        <r>
          <rPr>
            <sz val="9"/>
            <color indexed="81"/>
            <rFont val="Tahoma"/>
            <family val="2"/>
          </rPr>
          <t xml:space="preserve">
3542 (value from above OC list excluding Six Oaks and The Village, because they are new. 3164 (value from 14/15 OC list excluding Kenmore Village Apartments, because their information was unable to be located). This provides an accurate cross year comparison, as the apartments are the same.</t>
        </r>
      </text>
    </comment>
    <comment ref="K65" authorId="0" shapeId="0">
      <text>
        <r>
          <rPr>
            <b/>
            <sz val="9"/>
            <color indexed="81"/>
            <rFont val="Tahoma"/>
            <family val="2"/>
          </rPr>
          <t>Christopher Dubois:</t>
        </r>
        <r>
          <rPr>
            <sz val="9"/>
            <color indexed="81"/>
            <rFont val="Tahoma"/>
            <family val="2"/>
          </rPr>
          <t xml:space="preserve">
I58 (value from this year single apartment), 2515.40 (value from last year single apartment), J58 (value from this year double apartment), 2115.43 (value from last year double apartment). This should accurately depict the average increase for the list of universities above, as an aggregate</t>
        </r>
      </text>
    </comment>
    <comment ref="B68" authorId="0" shapeId="0">
      <text>
        <r>
          <rPr>
            <b/>
            <sz val="9"/>
            <color indexed="81"/>
            <rFont val="Tahoma"/>
            <family val="2"/>
          </rPr>
          <t>Christopher Dubois:</t>
        </r>
        <r>
          <rPr>
            <sz val="9"/>
            <color indexed="81"/>
            <rFont val="Tahoma"/>
            <family val="2"/>
          </rPr>
          <t xml:space="preserve">
Total Monthly Cost is 521.82
Divide that by 30 to get daily cost
Multiply by 254 to get total cost for the AY 15-16 (9/30/15 - 6/10/16) and then divide by 3 to get quarterly cost</t>
        </r>
      </text>
    </comment>
  </commentList>
</comments>
</file>

<file path=xl/comments2.xml><?xml version="1.0" encoding="utf-8"?>
<comments xmlns="http://schemas.openxmlformats.org/spreadsheetml/2006/main">
  <authors>
    <author>Christopher Dubois</author>
  </authors>
  <commentList>
    <comment ref="H20" authorId="0" shapeId="0">
      <text>
        <r>
          <rPr>
            <b/>
            <sz val="9"/>
            <color indexed="81"/>
            <rFont val="Tahoma"/>
            <charset val="1"/>
          </rPr>
          <t>Christopher Dubois:</t>
        </r>
        <r>
          <rPr>
            <sz val="9"/>
            <color indexed="81"/>
            <rFont val="Tahoma"/>
            <charset val="1"/>
          </rPr>
          <t xml:space="preserve">
these numbers are per person if the unit is fully occupied</t>
        </r>
      </text>
    </comment>
  </commentList>
</comments>
</file>

<file path=xl/sharedStrings.xml><?xml version="1.0" encoding="utf-8"?>
<sst xmlns="http://schemas.openxmlformats.org/spreadsheetml/2006/main" count="2652" uniqueCount="316">
  <si>
    <t>SCHOOL</t>
  </si>
  <si>
    <t>Type</t>
  </si>
  <si>
    <t>California State University - Monterey Bay</t>
  </si>
  <si>
    <t>C</t>
  </si>
  <si>
    <t>Fayetteville State University</t>
  </si>
  <si>
    <t>Montana State University - Billings</t>
  </si>
  <si>
    <t>Rutgers University - Camden</t>
  </si>
  <si>
    <t>University of Illinois - Springfield</t>
  </si>
  <si>
    <t>University of Mary Washington</t>
  </si>
  <si>
    <t>University of Wisconsin - Parkside</t>
  </si>
  <si>
    <t>Brandeis University</t>
  </si>
  <si>
    <t>Western Washington University</t>
  </si>
  <si>
    <t>C/R</t>
  </si>
  <si>
    <t>Gonzaga University</t>
  </si>
  <si>
    <t>Seattle University</t>
  </si>
  <si>
    <t>Central Washington University</t>
  </si>
  <si>
    <t>R</t>
  </si>
  <si>
    <t>Eastern Washington University</t>
  </si>
  <si>
    <t>Evergreen State College</t>
  </si>
  <si>
    <t>Saint Martins University</t>
  </si>
  <si>
    <t>Seattle Pacific University</t>
  </si>
  <si>
    <t>University of Puget Sound</t>
  </si>
  <si>
    <t>University of Washington - Seattle</t>
  </si>
  <si>
    <t>University of Washington - Tacoma</t>
  </si>
  <si>
    <t>University of Washington - Bothell</t>
  </si>
  <si>
    <t>UWB</t>
  </si>
  <si>
    <t>Washington State University</t>
  </si>
  <si>
    <t>Comparable School Averages</t>
  </si>
  <si>
    <t>Regional School Averages</t>
  </si>
  <si>
    <t>Overall Averages</t>
  </si>
  <si>
    <t>Avg Sing Trad</t>
  </si>
  <si>
    <t>Avg Dbl Trad</t>
  </si>
  <si>
    <t>Avg Trip Trad</t>
  </si>
  <si>
    <t>Avg Sing Sui</t>
  </si>
  <si>
    <t>Avg Dbl Sui</t>
  </si>
  <si>
    <t>Avg Trip Sui</t>
  </si>
  <si>
    <t>Avg Sing Apt</t>
  </si>
  <si>
    <t>Avg Dbl Apt</t>
  </si>
  <si>
    <t>Room Rate Average</t>
  </si>
  <si>
    <t>Total Average Cost</t>
  </si>
  <si>
    <t>The 104 Apt</t>
  </si>
  <si>
    <t>OC</t>
  </si>
  <si>
    <t>North Creek Heights</t>
  </si>
  <si>
    <t>Heritage Park</t>
  </si>
  <si>
    <t>Avana 522</t>
  </si>
  <si>
    <t>Rivercroft Apt</t>
  </si>
  <si>
    <t>Pinnacle Sonata Apt</t>
  </si>
  <si>
    <t>Willina Ranch Apt</t>
  </si>
  <si>
    <t>Asteria Place</t>
  </si>
  <si>
    <t>Ivory Wood Apt</t>
  </si>
  <si>
    <t>Beaumont Apt</t>
  </si>
  <si>
    <t>Stonemeadow Farms</t>
  </si>
  <si>
    <t>Salmon Run at Perry Creek Apt</t>
  </si>
  <si>
    <t>Canyon Pointe Apt</t>
  </si>
  <si>
    <t>Providence Apt Homes</t>
  </si>
  <si>
    <t>Crestwood</t>
  </si>
  <si>
    <t>Heron Run Apt</t>
  </si>
  <si>
    <t>Bridlewood Apartments</t>
  </si>
  <si>
    <t>Madison Park Apt</t>
  </si>
  <si>
    <t>Stonehedge Village Apt</t>
  </si>
  <si>
    <t>Autumn Chase Apt</t>
  </si>
  <si>
    <t>Parklane Townhomes</t>
  </si>
  <si>
    <t>The Timbers</t>
  </si>
  <si>
    <t>Avalon Rock Meadow Apt</t>
  </si>
  <si>
    <t>Inglewood Forest</t>
  </si>
  <si>
    <t>Off Campus Averages</t>
  </si>
  <si>
    <t>OC-A</t>
  </si>
  <si>
    <t>C-A</t>
  </si>
  <si>
    <t>R-A</t>
  </si>
  <si>
    <t>C/R-A</t>
  </si>
  <si>
    <t>OC/C/R-A</t>
  </si>
  <si>
    <t>Six Oaks</t>
  </si>
  <si>
    <t>The Village at Beardslee Crossing</t>
  </si>
  <si>
    <t>2015-2016</t>
  </si>
  <si>
    <t>Traditional Halls</t>
  </si>
  <si>
    <t>Suite Style Halls</t>
  </si>
  <si>
    <t>Single</t>
  </si>
  <si>
    <t>Double</t>
  </si>
  <si>
    <t>Triple</t>
  </si>
  <si>
    <t>Quad</t>
  </si>
  <si>
    <t>Hall #1</t>
  </si>
  <si>
    <t>Hall #2</t>
  </si>
  <si>
    <t>Hall #3</t>
  </si>
  <si>
    <t>Hall #4</t>
  </si>
  <si>
    <t>Hall #5</t>
  </si>
  <si>
    <t>Hall #6</t>
  </si>
  <si>
    <t>Hall #7</t>
  </si>
  <si>
    <t>Hall #8</t>
  </si>
  <si>
    <t>Hall #9</t>
  </si>
  <si>
    <t>Hall #10</t>
  </si>
  <si>
    <t>Hall #11</t>
  </si>
  <si>
    <t>Hall #12</t>
  </si>
  <si>
    <t>Hall #13</t>
  </si>
  <si>
    <t>Hall #14</t>
  </si>
  <si>
    <t>Averages</t>
  </si>
  <si>
    <t>Cluster Style Halls</t>
  </si>
  <si>
    <t>Apartment Style Halls</t>
  </si>
  <si>
    <t>Meal Plan information</t>
  </si>
  <si>
    <t>Method</t>
  </si>
  <si>
    <t>Requisite*</t>
  </si>
  <si>
    <t>Details</t>
  </si>
  <si>
    <t>Cost</t>
  </si>
  <si>
    <t>Option 1</t>
  </si>
  <si>
    <t>Option 2</t>
  </si>
  <si>
    <t>Option 3</t>
  </si>
  <si>
    <t>Option 4</t>
  </si>
  <si>
    <t>Option 5</t>
  </si>
  <si>
    <t>Option 6</t>
  </si>
  <si>
    <t>Option 7</t>
  </si>
  <si>
    <t>Option 8</t>
  </si>
  <si>
    <t>Option 9</t>
  </si>
  <si>
    <t>Option 10</t>
  </si>
  <si>
    <t>Option 11</t>
  </si>
  <si>
    <t>Option 12</t>
  </si>
  <si>
    <t>Option 13</t>
  </si>
  <si>
    <t>Option 14</t>
  </si>
  <si>
    <t>2br</t>
  </si>
  <si>
    <t>1br</t>
  </si>
  <si>
    <t>studio</t>
  </si>
  <si>
    <t>3br</t>
  </si>
  <si>
    <t>Hall #15</t>
  </si>
  <si>
    <t>Hall #16</t>
  </si>
  <si>
    <t>Hall #17</t>
  </si>
  <si>
    <t>Hall #18</t>
  </si>
  <si>
    <t>Hall #19</t>
  </si>
  <si>
    <t>Hall #20</t>
  </si>
  <si>
    <t>Hall #21</t>
  </si>
  <si>
    <t>bath</t>
  </si>
  <si>
    <t>WM + F</t>
  </si>
  <si>
    <t>Comm</t>
  </si>
  <si>
    <t>NO</t>
  </si>
  <si>
    <t>YES</t>
  </si>
  <si>
    <t>14WM + 50F +9.175P</t>
  </si>
  <si>
    <t>21WM + 200F + 13.75P</t>
  </si>
  <si>
    <t xml:space="preserve">7WM + 25F + 5.925P </t>
  </si>
  <si>
    <t>Buffet</t>
  </si>
  <si>
    <t>N</t>
  </si>
  <si>
    <t>WM + F + GM</t>
  </si>
  <si>
    <t>List: B = Blocks, F = Flex, D = Declining, P = Points, WM = weekly meals, SA = Single Adult, GM = Guest Meals</t>
  </si>
  <si>
    <t>UNL + 150F + 5GM</t>
  </si>
  <si>
    <t>15WM + 80F + 4GM</t>
  </si>
  <si>
    <t>Y</t>
  </si>
  <si>
    <t>10WM + 60F + 4GM</t>
  </si>
  <si>
    <t>8WM + 195F + 2GM</t>
  </si>
  <si>
    <t>F</t>
  </si>
  <si>
    <t>1210F</t>
  </si>
  <si>
    <t>2p studio</t>
  </si>
  <si>
    <t>town</t>
  </si>
  <si>
    <t>4br</t>
  </si>
  <si>
    <t>WM21</t>
  </si>
  <si>
    <t xml:space="preserve">WM </t>
  </si>
  <si>
    <t>WM14</t>
  </si>
  <si>
    <t>WM10</t>
  </si>
  <si>
    <t>WM7</t>
  </si>
  <si>
    <t>WM</t>
  </si>
  <si>
    <t>B</t>
  </si>
  <si>
    <t>50B</t>
  </si>
  <si>
    <t>25B</t>
  </si>
  <si>
    <t>25F</t>
  </si>
  <si>
    <t>Hagget</t>
  </si>
  <si>
    <t>Hansee</t>
  </si>
  <si>
    <t>McMahon</t>
  </si>
  <si>
    <t>Alder</t>
  </si>
  <si>
    <t>Elm</t>
  </si>
  <si>
    <t>Lander</t>
  </si>
  <si>
    <t>Maple</t>
  </si>
  <si>
    <t>Poplar</t>
  </si>
  <si>
    <t>terry</t>
  </si>
  <si>
    <t>Merc A</t>
  </si>
  <si>
    <t>Merc B 3br</t>
  </si>
  <si>
    <t>Merc B 5br</t>
  </si>
  <si>
    <t>Merc C 2br</t>
  </si>
  <si>
    <t>Merc C 3br</t>
  </si>
  <si>
    <t>Merc C 5br</t>
  </si>
  <si>
    <t>Merc C 6br</t>
  </si>
  <si>
    <t>Merc cC4br</t>
  </si>
  <si>
    <t>Merc C Studio</t>
  </si>
  <si>
    <t>Stevens 4br</t>
  </si>
  <si>
    <t>Stevens 6br</t>
  </si>
  <si>
    <t>Cedar 2br</t>
  </si>
  <si>
    <t>Cedar 4br</t>
  </si>
  <si>
    <t>Cedar Studio</t>
  </si>
  <si>
    <t>Steven 4br</t>
  </si>
  <si>
    <t>Steven 6br</t>
  </si>
  <si>
    <t>2br FUR</t>
  </si>
  <si>
    <t>3br FUR</t>
  </si>
  <si>
    <t>4br FUR</t>
  </si>
  <si>
    <t>2BR UNF</t>
  </si>
  <si>
    <t>3br UNF</t>
  </si>
  <si>
    <t>4br UNF</t>
  </si>
  <si>
    <t>D</t>
  </si>
  <si>
    <t>3 br / 2ba</t>
  </si>
  <si>
    <t>4 br / 4 ba</t>
  </si>
  <si>
    <t>3 br / 3ba</t>
  </si>
  <si>
    <t>4br / 2ba</t>
  </si>
  <si>
    <t xml:space="preserve">WM + F </t>
  </si>
  <si>
    <t>UNL + 240F</t>
  </si>
  <si>
    <t>240WM + 280 F</t>
  </si>
  <si>
    <t>140WM + 400F</t>
  </si>
  <si>
    <t>300F</t>
  </si>
  <si>
    <t>B + F</t>
  </si>
  <si>
    <t>20B + 30F</t>
  </si>
  <si>
    <t>40B + 40F</t>
  </si>
  <si>
    <t>60B + 50F</t>
  </si>
  <si>
    <t>rates not available for the 15-16 year as of apr 21</t>
  </si>
  <si>
    <t>755D</t>
  </si>
  <si>
    <t>649D</t>
  </si>
  <si>
    <t>553D</t>
  </si>
  <si>
    <t>477D</t>
  </si>
  <si>
    <t>374D</t>
  </si>
  <si>
    <t>444D</t>
  </si>
  <si>
    <t>544D</t>
  </si>
  <si>
    <t>607D</t>
  </si>
  <si>
    <t>184D</t>
  </si>
  <si>
    <t>UNL</t>
  </si>
  <si>
    <t>125B + 176D</t>
  </si>
  <si>
    <t>B + D</t>
  </si>
  <si>
    <t>100B + 176D</t>
  </si>
  <si>
    <t>75B + 176D</t>
  </si>
  <si>
    <t>family</t>
  </si>
  <si>
    <t>UNL + 600D</t>
  </si>
  <si>
    <t>UNL + 450D</t>
  </si>
  <si>
    <t>150B + 600D</t>
  </si>
  <si>
    <t>14WM + 200D</t>
  </si>
  <si>
    <t>217B + 67F</t>
  </si>
  <si>
    <t>134B + 200F</t>
  </si>
  <si>
    <t>107B + 234F</t>
  </si>
  <si>
    <t>80B + 334F</t>
  </si>
  <si>
    <t>80B + 200F</t>
  </si>
  <si>
    <t>65UNL</t>
  </si>
  <si>
    <t>UNL + D</t>
  </si>
  <si>
    <t>40UNL + 75D</t>
  </si>
  <si>
    <t>10WM + 200F</t>
  </si>
  <si>
    <t>15WM + 134F</t>
  </si>
  <si>
    <t>6WM + 117F</t>
  </si>
  <si>
    <t>5WM + 167F</t>
  </si>
  <si>
    <t>2WM + 334F</t>
  </si>
  <si>
    <t>UNL + F</t>
  </si>
  <si>
    <t>8UNL + 500F</t>
  </si>
  <si>
    <t>UNL + 134F</t>
  </si>
  <si>
    <t>997D</t>
  </si>
  <si>
    <t>904D</t>
  </si>
  <si>
    <t>1328D</t>
  </si>
  <si>
    <t>1512D</t>
  </si>
  <si>
    <t>135D</t>
  </si>
  <si>
    <t>179D</t>
  </si>
  <si>
    <t>304D</t>
  </si>
  <si>
    <t>13WM + 167F</t>
  </si>
  <si>
    <t>10WM + 333F</t>
  </si>
  <si>
    <t>8WM + 567F</t>
  </si>
  <si>
    <t>7WM + 433F</t>
  </si>
  <si>
    <t>80B + 267F</t>
  </si>
  <si>
    <t>53B + 200F</t>
  </si>
  <si>
    <t>60B + 67F</t>
  </si>
  <si>
    <t>1978F</t>
  </si>
  <si>
    <t>1475F</t>
  </si>
  <si>
    <t>1229F</t>
  </si>
  <si>
    <t>1096F</t>
  </si>
  <si>
    <t>973F</t>
  </si>
  <si>
    <t>843F</t>
  </si>
  <si>
    <t>772F</t>
  </si>
  <si>
    <t>600F</t>
  </si>
  <si>
    <t>400F</t>
  </si>
  <si>
    <t>200F</t>
  </si>
  <si>
    <t>2270F</t>
  </si>
  <si>
    <t>1768F</t>
  </si>
  <si>
    <t>76 days in a qtr</t>
  </si>
  <si>
    <t>1638F</t>
  </si>
  <si>
    <t>1406F</t>
  </si>
  <si>
    <t>967F</t>
  </si>
  <si>
    <t>641F</t>
  </si>
  <si>
    <t>296F</t>
  </si>
  <si>
    <t>209B + 33F</t>
  </si>
  <si>
    <t>93B + 117F</t>
  </si>
  <si>
    <t>154B + 50F</t>
  </si>
  <si>
    <t>121B + 83F</t>
  </si>
  <si>
    <t>63B + 183F</t>
  </si>
  <si>
    <t>99B + 100F</t>
  </si>
  <si>
    <t>y</t>
  </si>
  <si>
    <t>Quarterly Housing Rates AY 15/16</t>
  </si>
  <si>
    <t>AVG Meal Plan Rate</t>
  </si>
  <si>
    <t>Comparable/Regional School Averages</t>
  </si>
  <si>
    <t>C/R-C-R</t>
  </si>
  <si>
    <t>Quarterly Meal Plan Rates AY14-15</t>
  </si>
  <si>
    <t>Electricity 74.75 (using average from our puget sound energy bill)</t>
  </si>
  <si>
    <t>Sewer Rate 42.03 (using http://www.kingcounty.gov/environment/wtd/About/Finances/Rate.aspx)</t>
  </si>
  <si>
    <t>Internet and Basic Cable 79.99 (using http://www.xfinity.com/cable-internet-packages.html)</t>
  </si>
  <si>
    <t>Water 2400 gallons/month [ 3.21CCF ] =  5.85 (using http://water.usgs.gov/edu/qa-home-percapita.html</t>
  </si>
  <si>
    <t>Garbage [ one 20 Gal can weekly ] = 38 (using http://wmnorthwest.com/bothell/service.html)</t>
  </si>
  <si>
    <t>Food Cost [ Moderate Plan Avg'd 19-50 Male &amp; 19-50 Female ] =  281.2 (using http://www.cnpp.usda.gov/sites/default/files/usda_food_plans_cost_of_food/CostofFoodJul2014.pdf)</t>
  </si>
  <si>
    <t>Total Quarterly =</t>
  </si>
  <si>
    <t>Total Average Cost Ratio</t>
  </si>
  <si>
    <t>Room Rate Average Cost Ratio</t>
  </si>
  <si>
    <t>Comparable and Regional School Averages</t>
  </si>
  <si>
    <t>Overall School Averages</t>
  </si>
  <si>
    <t>C/R/C/R-A</t>
  </si>
  <si>
    <r>
      <t>OC (list)</t>
    </r>
    <r>
      <rPr>
        <vertAlign val="superscript"/>
        <sz val="8"/>
        <color theme="1"/>
        <rFont val="Calibri"/>
        <family val="2"/>
        <scheme val="minor"/>
      </rPr>
      <t>1</t>
    </r>
  </si>
  <si>
    <t>Universities</t>
  </si>
  <si>
    <r>
      <t>Greater Seattle</t>
    </r>
    <r>
      <rPr>
        <vertAlign val="superscript"/>
        <sz val="8"/>
        <color theme="1"/>
        <rFont val="Calibri"/>
        <family val="2"/>
        <scheme val="minor"/>
      </rPr>
      <t>2</t>
    </r>
  </si>
  <si>
    <r>
      <t>WA</t>
    </r>
    <r>
      <rPr>
        <vertAlign val="superscript"/>
        <sz val="8"/>
        <color theme="1"/>
        <rFont val="Calibri"/>
        <family val="2"/>
        <scheme val="minor"/>
      </rPr>
      <t>2</t>
    </r>
  </si>
  <si>
    <t>(2) Source: http://www.deptofnumbers.com/rent/washington/seattle/#f-1</t>
  </si>
  <si>
    <t>(2) Source from 2013</t>
  </si>
  <si>
    <t>(1) Only includes apartments the same across 14/15 and 15/16</t>
  </si>
  <si>
    <r>
      <t>Rates Of Increase</t>
    </r>
    <r>
      <rPr>
        <vertAlign val="superscript"/>
        <sz val="8"/>
        <color theme="1"/>
        <rFont val="Calibri"/>
        <family val="2"/>
        <scheme val="minor"/>
      </rPr>
      <t>0</t>
    </r>
  </si>
  <si>
    <t>(0) Only comparing single apt and double apt averages</t>
  </si>
  <si>
    <t>Hall#6</t>
  </si>
  <si>
    <t>100B + 725F</t>
  </si>
  <si>
    <t>50B + 1050F</t>
  </si>
  <si>
    <t>30B + 325F</t>
  </si>
  <si>
    <t>75B + 925F</t>
  </si>
  <si>
    <t>1775F</t>
  </si>
  <si>
    <t>1567F</t>
  </si>
  <si>
    <t>784F</t>
  </si>
  <si>
    <t>100F</t>
  </si>
  <si>
    <t>UWB Housing Office</t>
  </si>
  <si>
    <t>Christopher DuBois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</si>
</sst>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44" formatCode="_(&quot;$&quot;* #,##0.00_);_(&quot;$&quot;* \(#,##0.00\);_(&quot;$&quot;* &quot;-&quot;??_);_(@_)"/>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8"/>
      <color theme="1"/>
      <name val="Calibri"/>
      <family val="2"/>
      <scheme val="minor"/>
    </font>
    <font>
      <sz val="8"/>
      <color theme="0"/>
      <name val="Calibri"/>
      <family val="2"/>
      <scheme val="minor"/>
    </font>
    <font>
      <b/>
      <sz val="8"/>
      <color theme="1"/>
      <name val="Calibri"/>
      <family val="2"/>
      <scheme val="minor"/>
    </font>
    <font>
      <sz val="8"/>
      <color theme="1"/>
      <name val="Calibri"/>
      <scheme val="minor"/>
    </font>
    <font>
      <sz val="8"/>
      <color theme="0"/>
      <name val="Calibri"/>
      <scheme val="minor"/>
    </font>
    <font>
      <sz val="11"/>
      <name val="Calibri"/>
      <family val="2"/>
      <scheme val="minor"/>
    </font>
    <font>
      <sz val="11"/>
      <color theme="7" tint="0.39997558519241921"/>
      <name val="Calibri"/>
      <family val="2"/>
      <scheme val="minor"/>
    </font>
    <font>
      <sz val="8"/>
      <color theme="0" tint="-0.249977111117893"/>
      <name val="Calibri"/>
      <family val="2"/>
      <scheme val="minor"/>
    </font>
    <font>
      <vertAlign val="superscript"/>
      <sz val="8"/>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1"/>
        <bgColor indexed="64"/>
      </patternFill>
    </fill>
    <fill>
      <patternFill patternType="solid">
        <fgColor theme="1" tint="4.9989318521683403E-2"/>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00B0F0"/>
        <bgColor indexed="64"/>
      </patternFill>
    </fill>
    <fill>
      <patternFill patternType="solid">
        <fgColor theme="0" tint="-0.14999847407452621"/>
        <bgColor indexed="64"/>
      </patternFill>
    </fill>
    <fill>
      <patternFill patternType="solid">
        <fgColor rgb="FF7030A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cellStyleXfs>
  <cellXfs count="73">
    <xf numFmtId="0" fontId="0" fillId="0" borderId="0" xfId="0"/>
    <xf numFmtId="8" fontId="0" fillId="0" borderId="0" xfId="0" applyNumberFormat="1"/>
    <xf numFmtId="0" fontId="0" fillId="0" borderId="0" xfId="0"/>
    <xf numFmtId="0" fontId="0" fillId="0" borderId="0" xfId="0"/>
    <xf numFmtId="0" fontId="0" fillId="3" borderId="0" xfId="0" applyFill="1"/>
    <xf numFmtId="0" fontId="0" fillId="4" borderId="0" xfId="0" applyFill="1"/>
    <xf numFmtId="0" fontId="3" fillId="6" borderId="0" xfId="0" applyFont="1" applyFill="1"/>
    <xf numFmtId="0" fontId="0" fillId="7" borderId="0" xfId="0" applyFill="1"/>
    <xf numFmtId="0" fontId="0" fillId="9" borderId="0" xfId="0" applyFill="1"/>
    <xf numFmtId="0" fontId="0" fillId="0" borderId="0" xfId="0"/>
    <xf numFmtId="0" fontId="0" fillId="0" borderId="0" xfId="0" applyAlignment="1">
      <alignment horizontal="center"/>
    </xf>
    <xf numFmtId="0" fontId="2" fillId="2" borderId="4" xfId="0" applyFont="1" applyFill="1" applyBorder="1" applyAlignment="1">
      <alignment vertical="center"/>
    </xf>
    <xf numFmtId="0" fontId="0" fillId="2" borderId="1" xfId="0" applyFill="1" applyBorder="1" applyAlignment="1">
      <alignment vertical="center"/>
    </xf>
    <xf numFmtId="44" fontId="0" fillId="0" borderId="1" xfId="1" applyFont="1" applyBorder="1" applyAlignment="1">
      <alignment vertical="center"/>
    </xf>
    <xf numFmtId="0" fontId="0" fillId="2" borderId="3" xfId="0" applyFill="1" applyBorder="1" applyAlignment="1">
      <alignment vertical="center"/>
    </xf>
    <xf numFmtId="44" fontId="0" fillId="0" borderId="3" xfId="1" applyFont="1" applyBorder="1" applyAlignment="1">
      <alignment vertical="center"/>
    </xf>
    <xf numFmtId="44" fontId="2" fillId="0" borderId="4" xfId="1" applyFont="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vertical="center"/>
    </xf>
    <xf numFmtId="0" fontId="0" fillId="2" borderId="5" xfId="0" applyFill="1" applyBorder="1" applyAlignment="1">
      <alignment vertical="center"/>
    </xf>
    <xf numFmtId="44" fontId="0" fillId="0" borderId="5" xfId="1" applyFont="1" applyBorder="1" applyAlignment="1">
      <alignment vertical="center"/>
    </xf>
    <xf numFmtId="0" fontId="5" fillId="0" borderId="0" xfId="2"/>
    <xf numFmtId="44" fontId="0" fillId="0" borderId="0" xfId="1" applyFont="1"/>
    <xf numFmtId="1" fontId="0" fillId="0" borderId="1" xfId="1" applyNumberFormat="1" applyFont="1" applyBorder="1" applyAlignment="1">
      <alignment vertical="center"/>
    </xf>
    <xf numFmtId="0" fontId="0" fillId="2" borderId="7" xfId="0" applyFill="1" applyBorder="1" applyAlignment="1">
      <alignment vertical="center"/>
    </xf>
    <xf numFmtId="44" fontId="0" fillId="0" borderId="7" xfId="1" applyFont="1" applyBorder="1" applyAlignment="1">
      <alignment vertical="center"/>
    </xf>
    <xf numFmtId="44" fontId="0" fillId="0" borderId="0" xfId="0" applyNumberFormat="1"/>
    <xf numFmtId="0" fontId="10" fillId="0" borderId="0" xfId="0" applyFont="1"/>
    <xf numFmtId="0" fontId="11" fillId="6" borderId="0" xfId="0" applyFont="1" applyFill="1"/>
    <xf numFmtId="0" fontId="10" fillId="4" borderId="0" xfId="0" applyFont="1" applyFill="1"/>
    <xf numFmtId="44" fontId="10" fillId="0" borderId="0" xfId="1" applyFont="1"/>
    <xf numFmtId="0" fontId="10" fillId="3" borderId="0" xfId="0" applyFont="1" applyFill="1"/>
    <xf numFmtId="0" fontId="10" fillId="7" borderId="0" xfId="0" applyFont="1" applyFill="1"/>
    <xf numFmtId="0" fontId="12" fillId="0" borderId="6" xfId="0" applyFont="1" applyBorder="1"/>
    <xf numFmtId="0" fontId="10" fillId="10" borderId="6" xfId="0" applyFont="1" applyFill="1" applyBorder="1"/>
    <xf numFmtId="44" fontId="10" fillId="0" borderId="6" xfId="1" applyFont="1" applyBorder="1"/>
    <xf numFmtId="44" fontId="12" fillId="11" borderId="6" xfId="1" applyFont="1" applyFill="1" applyBorder="1"/>
    <xf numFmtId="0" fontId="10" fillId="8" borderId="0" xfId="0" applyFont="1" applyFill="1"/>
    <xf numFmtId="0" fontId="10" fillId="9" borderId="0" xfId="0" applyFont="1" applyFill="1"/>
    <xf numFmtId="44" fontId="10" fillId="9" borderId="0" xfId="1" applyFont="1" applyFill="1"/>
    <xf numFmtId="0" fontId="11" fillId="5" borderId="0" xfId="0" applyFont="1" applyFill="1"/>
    <xf numFmtId="0" fontId="12" fillId="12" borderId="0" xfId="0" applyFont="1" applyFill="1"/>
    <xf numFmtId="44" fontId="10" fillId="0" borderId="0" xfId="0" applyNumberFormat="1" applyFont="1"/>
    <xf numFmtId="0" fontId="14" fillId="6" borderId="0" xfId="0" applyFont="1" applyFill="1"/>
    <xf numFmtId="44" fontId="10" fillId="13" borderId="0" xfId="1" applyFont="1" applyFill="1"/>
    <xf numFmtId="0" fontId="15" fillId="0" borderId="0" xfId="0" applyFont="1"/>
    <xf numFmtId="0" fontId="0" fillId="14" borderId="0" xfId="0" applyFill="1"/>
    <xf numFmtId="0" fontId="16" fillId="14" borderId="0" xfId="0" applyFont="1" applyFill="1"/>
    <xf numFmtId="0" fontId="10" fillId="0" borderId="0" xfId="0" applyFont="1" applyBorder="1"/>
    <xf numFmtId="0" fontId="11" fillId="0" borderId="0" xfId="0" applyFont="1" applyFill="1" applyBorder="1"/>
    <xf numFmtId="44" fontId="10" fillId="0" borderId="0" xfId="1" applyNumberFormat="1" applyFont="1" applyBorder="1"/>
    <xf numFmtId="44" fontId="10" fillId="0" borderId="0" xfId="1" applyNumberFormat="1" applyFont="1" applyFill="1" applyBorder="1"/>
    <xf numFmtId="44" fontId="0" fillId="0" borderId="0" xfId="3" applyNumberFormat="1" applyFont="1"/>
    <xf numFmtId="10" fontId="0" fillId="0" borderId="0" xfId="0" applyNumberFormat="1"/>
    <xf numFmtId="0" fontId="10" fillId="0" borderId="1" xfId="0" applyFont="1" applyBorder="1"/>
    <xf numFmtId="10" fontId="10" fillId="0" borderId="1" xfId="0" applyNumberFormat="1" applyFont="1" applyBorder="1"/>
    <xf numFmtId="10" fontId="10" fillId="0" borderId="1" xfId="3" applyNumberFormat="1" applyFont="1" applyBorder="1"/>
    <xf numFmtId="2" fontId="13" fillId="0" borderId="0" xfId="1" applyNumberFormat="1" applyFont="1"/>
    <xf numFmtId="2" fontId="10" fillId="0" borderId="0" xfId="1" applyNumberFormat="1" applyFont="1"/>
    <xf numFmtId="2" fontId="10" fillId="9" borderId="0" xfId="1" applyNumberFormat="1" applyFont="1" applyFill="1"/>
    <xf numFmtId="2" fontId="17" fillId="0" borderId="0" xfId="1" applyNumberFormat="1" applyFont="1"/>
    <xf numFmtId="44" fontId="10" fillId="11" borderId="6" xfId="1" applyFont="1" applyFill="1" applyBorder="1"/>
    <xf numFmtId="2" fontId="10" fillId="11" borderId="6" xfId="1" applyNumberFormat="1" applyFont="1" applyFill="1" applyBorder="1"/>
    <xf numFmtId="2" fontId="13" fillId="11" borderId="6" xfId="1" applyNumberFormat="1" applyFont="1" applyFill="1" applyBorder="1"/>
    <xf numFmtId="0" fontId="10" fillId="0" borderId="0" xfId="0" applyFont="1" applyFill="1" applyBorder="1"/>
    <xf numFmtId="0" fontId="10" fillId="0" borderId="1" xfId="0" applyFont="1" applyFill="1" applyBorder="1"/>
    <xf numFmtId="44" fontId="10" fillId="0" borderId="0" xfId="0" applyNumberFormat="1" applyFont="1" applyAlignment="1"/>
    <xf numFmtId="10" fontId="10" fillId="0" borderId="0" xfId="0" applyNumberFormat="1" applyFont="1" applyBorder="1"/>
    <xf numFmtId="0" fontId="2" fillId="0" borderId="0" xfId="0" applyFont="1"/>
    <xf numFmtId="0" fontId="2" fillId="10" borderId="0" xfId="0" applyFont="1" applyFill="1"/>
    <xf numFmtId="10" fontId="10" fillId="0" borderId="1" xfId="3" applyNumberFormat="1" applyFont="1" applyFill="1" applyBorder="1"/>
    <xf numFmtId="0" fontId="10" fillId="0" borderId="1" xfId="0" applyFont="1" applyBorder="1" applyAlignment="1">
      <alignment horizontal="center"/>
    </xf>
    <xf numFmtId="0" fontId="4" fillId="0" borderId="2" xfId="0" applyFont="1" applyBorder="1" applyAlignment="1">
      <alignment horizontal="center" vertical="center"/>
    </xf>
  </cellXfs>
  <cellStyles count="4">
    <cellStyle name="Currency" xfId="1" builtinId="4"/>
    <cellStyle name="Hyperlink" xfId="2" builtinId="8"/>
    <cellStyle name="Normal" xfId="0" builtinId="0"/>
    <cellStyle name="Percent" xfId="3" builtinId="5"/>
  </cellStyles>
  <dxfs count="35">
    <dxf>
      <font>
        <b val="0"/>
        <i val="0"/>
        <strike val="0"/>
        <condense val="0"/>
        <extend val="0"/>
        <outline val="0"/>
        <shadow val="0"/>
        <u val="none"/>
        <vertAlign val="baseline"/>
        <sz val="8"/>
        <color theme="1"/>
        <name val="Calibri"/>
        <scheme val="minor"/>
      </font>
      <numFmt numFmtId="2" formatCode="0.00"/>
      <border diagonalUp="0" diagonalDown="0" outline="0">
        <left/>
        <right/>
        <top/>
        <bottom/>
      </border>
    </dxf>
    <dxf>
      <numFmt numFmtId="2" formatCode="0.00"/>
    </dxf>
    <dxf>
      <font>
        <b val="0"/>
        <i val="0"/>
        <strike val="0"/>
        <condense val="0"/>
        <extend val="0"/>
        <outline val="0"/>
        <shadow val="0"/>
        <u val="none"/>
        <vertAlign val="baseline"/>
        <sz val="8"/>
        <color theme="1"/>
        <name val="Calibri"/>
        <scheme val="minor"/>
      </font>
      <numFmt numFmtId="34" formatCode="_(&quot;$&quot;* #,##0.00_);_(&quot;$&quot;* \(#,##0.00\);_(&quot;$&quot;* &quot;-&quot;??_);_(@_)"/>
      <border diagonalUp="0" diagonalDown="0" outline="0">
        <left/>
        <right/>
        <top/>
        <bottom/>
      </border>
    </dxf>
    <dxf>
      <numFmt numFmtId="2" formatCode="0.00"/>
    </dxf>
    <dxf>
      <font>
        <b val="0"/>
        <i val="0"/>
        <strike val="0"/>
        <condense val="0"/>
        <extend val="0"/>
        <outline val="0"/>
        <shadow val="0"/>
        <u val="none"/>
        <vertAlign val="baseline"/>
        <sz val="8"/>
        <color theme="1"/>
        <name val="Calibri"/>
        <scheme val="minor"/>
      </font>
      <numFmt numFmtId="34" formatCode="_(&quot;$&quot;* #,##0.00_);_(&quot;$&quot;* \(#,##0.00\);_(&quot;$&quot;* &quot;-&quot;??_);_(@_)"/>
      <border diagonalUp="0" diagonalDown="0" outline="0">
        <left/>
        <right/>
        <top/>
        <bottom/>
      </border>
    </dxf>
    <dxf>
      <font>
        <strike val="0"/>
        <outline val="0"/>
        <shadow val="0"/>
        <u val="none"/>
        <vertAlign val="baseline"/>
        <sz val="8"/>
        <name val="Calibri"/>
        <scheme val="minor"/>
      </font>
      <numFmt numFmtId="34" formatCode="_(&quot;$&quot;* #,##0.00_);_(&quot;$&quot;* \(#,##0.00\);_(&quot;$&quot;* &quot;-&quot;??_);_(@_)"/>
    </dxf>
    <dxf>
      <font>
        <b val="0"/>
        <i val="0"/>
        <strike val="0"/>
        <condense val="0"/>
        <extend val="0"/>
        <outline val="0"/>
        <shadow val="0"/>
        <u val="none"/>
        <vertAlign val="baseline"/>
        <sz val="8"/>
        <color theme="1"/>
        <name val="Calibri"/>
        <scheme val="minor"/>
      </font>
      <numFmt numFmtId="34" formatCode="_(&quot;$&quot;* #,##0.00_);_(&quot;$&quot;* \(#,##0.00\);_(&quot;$&quot;* &quot;-&quot;??_);_(@_)"/>
      <border diagonalUp="0" diagonalDown="0" outline="0">
        <left/>
        <right/>
        <top/>
        <bottom/>
      </border>
    </dxf>
    <dxf>
      <font>
        <strike val="0"/>
        <outline val="0"/>
        <shadow val="0"/>
        <u val="none"/>
        <vertAlign val="baseline"/>
        <sz val="8"/>
        <name val="Calibri"/>
        <scheme val="minor"/>
      </font>
    </dxf>
    <dxf>
      <font>
        <b val="0"/>
        <i val="0"/>
        <strike val="0"/>
        <condense val="0"/>
        <extend val="0"/>
        <outline val="0"/>
        <shadow val="0"/>
        <u val="none"/>
        <vertAlign val="baseline"/>
        <sz val="8"/>
        <color theme="1"/>
        <name val="Calibri"/>
        <scheme val="minor"/>
      </font>
      <numFmt numFmtId="34" formatCode="_(&quot;$&quot;* #,##0.00_);_(&quot;$&quot;* \(#,##0.00\);_(&quot;$&quot;* &quot;-&quot;??_);_(@_)"/>
      <border diagonalUp="0" diagonalDown="0" outline="0">
        <left/>
        <right/>
        <top/>
        <bottom/>
      </border>
    </dxf>
    <dxf>
      <font>
        <strike val="0"/>
        <outline val="0"/>
        <shadow val="0"/>
        <u val="none"/>
        <vertAlign val="baseline"/>
        <sz val="8"/>
        <name val="Calibri"/>
        <scheme val="minor"/>
      </font>
    </dxf>
    <dxf>
      <font>
        <b val="0"/>
        <i val="0"/>
        <strike val="0"/>
        <condense val="0"/>
        <extend val="0"/>
        <outline val="0"/>
        <shadow val="0"/>
        <u val="none"/>
        <vertAlign val="baseline"/>
        <sz val="8"/>
        <color theme="1"/>
        <name val="Calibri"/>
        <scheme val="minor"/>
      </font>
      <numFmt numFmtId="34" formatCode="_(&quot;$&quot;* #,##0.00_);_(&quot;$&quot;* \(#,##0.00\);_(&quot;$&quot;* &quot;-&quot;??_);_(@_)"/>
      <border diagonalUp="0" diagonalDown="0" outline="0">
        <left/>
        <right/>
        <top/>
        <bottom/>
      </border>
    </dxf>
    <dxf>
      <font>
        <strike val="0"/>
        <outline val="0"/>
        <shadow val="0"/>
        <u val="none"/>
        <vertAlign val="baseline"/>
        <sz val="8"/>
        <name val="Calibri"/>
        <scheme val="minor"/>
      </font>
    </dxf>
    <dxf>
      <font>
        <b val="0"/>
        <i val="0"/>
        <strike val="0"/>
        <condense val="0"/>
        <extend val="0"/>
        <outline val="0"/>
        <shadow val="0"/>
        <u val="none"/>
        <vertAlign val="baseline"/>
        <sz val="8"/>
        <color theme="1"/>
        <name val="Calibri"/>
        <scheme val="minor"/>
      </font>
      <numFmt numFmtId="34" formatCode="_(&quot;$&quot;* #,##0.00_);_(&quot;$&quot;* \(#,##0.00\);_(&quot;$&quot;* &quot;-&quot;??_);_(@_)"/>
      <border diagonalUp="0" diagonalDown="0" outline="0">
        <left/>
        <right/>
        <top/>
        <bottom/>
      </border>
    </dxf>
    <dxf>
      <font>
        <strike val="0"/>
        <outline val="0"/>
        <shadow val="0"/>
        <u val="none"/>
        <vertAlign val="baseline"/>
        <sz val="8"/>
        <name val="Calibri"/>
        <scheme val="minor"/>
      </font>
    </dxf>
    <dxf>
      <font>
        <b val="0"/>
        <i val="0"/>
        <strike val="0"/>
        <condense val="0"/>
        <extend val="0"/>
        <outline val="0"/>
        <shadow val="0"/>
        <u val="none"/>
        <vertAlign val="baseline"/>
        <sz val="8"/>
        <color theme="1"/>
        <name val="Calibri"/>
        <scheme val="minor"/>
      </font>
      <numFmt numFmtId="34" formatCode="_(&quot;$&quot;* #,##0.00_);_(&quot;$&quot;* \(#,##0.00\);_(&quot;$&quot;* &quot;-&quot;??_);_(@_)"/>
      <border diagonalUp="0" diagonalDown="0" outline="0">
        <left/>
        <right/>
        <top/>
        <bottom/>
      </border>
    </dxf>
    <dxf>
      <font>
        <strike val="0"/>
        <outline val="0"/>
        <shadow val="0"/>
        <u val="none"/>
        <vertAlign val="baseline"/>
        <sz val="8"/>
        <name val="Calibri"/>
        <scheme val="minor"/>
      </font>
    </dxf>
    <dxf>
      <font>
        <b val="0"/>
        <i val="0"/>
        <strike val="0"/>
        <condense val="0"/>
        <extend val="0"/>
        <outline val="0"/>
        <shadow val="0"/>
        <u val="none"/>
        <vertAlign val="baseline"/>
        <sz val="8"/>
        <color theme="1"/>
        <name val="Calibri"/>
        <scheme val="minor"/>
      </font>
      <numFmt numFmtId="34" formatCode="_(&quot;$&quot;* #,##0.00_);_(&quot;$&quot;* \(#,##0.00\);_(&quot;$&quot;* &quot;-&quot;??_);_(@_)"/>
      <border diagonalUp="0" diagonalDown="0" outline="0">
        <left/>
        <right/>
        <top/>
        <bottom/>
      </border>
    </dxf>
    <dxf>
      <font>
        <strike val="0"/>
        <outline val="0"/>
        <shadow val="0"/>
        <u val="none"/>
        <vertAlign val="baseline"/>
        <sz val="8"/>
        <name val="Calibri"/>
        <scheme val="minor"/>
      </font>
    </dxf>
    <dxf>
      <font>
        <b val="0"/>
        <i val="0"/>
        <strike val="0"/>
        <condense val="0"/>
        <extend val="0"/>
        <outline val="0"/>
        <shadow val="0"/>
        <u val="none"/>
        <vertAlign val="baseline"/>
        <sz val="8"/>
        <color theme="1"/>
        <name val="Calibri"/>
        <scheme val="minor"/>
      </font>
      <numFmt numFmtId="34" formatCode="_(&quot;$&quot;* #,##0.00_);_(&quot;$&quot;* \(#,##0.00\);_(&quot;$&quot;* &quot;-&quot;??_);_(@_)"/>
      <border diagonalUp="0" diagonalDown="0" outline="0">
        <left/>
        <right/>
        <top/>
        <bottom/>
      </border>
    </dxf>
    <dxf>
      <font>
        <strike val="0"/>
        <outline val="0"/>
        <shadow val="0"/>
        <u val="none"/>
        <vertAlign val="baseline"/>
        <sz val="8"/>
        <name val="Calibri"/>
        <scheme val="minor"/>
      </font>
    </dxf>
    <dxf>
      <font>
        <b val="0"/>
        <i val="0"/>
        <strike val="0"/>
        <condense val="0"/>
        <extend val="0"/>
        <outline val="0"/>
        <shadow val="0"/>
        <u val="none"/>
        <vertAlign val="baseline"/>
        <sz val="8"/>
        <color theme="1"/>
        <name val="Calibri"/>
        <scheme val="minor"/>
      </font>
      <numFmt numFmtId="34" formatCode="_(&quot;$&quot;* #,##0.00_);_(&quot;$&quot;* \(#,##0.00\);_(&quot;$&quot;* &quot;-&quot;??_);_(@_)"/>
      <border diagonalUp="0" diagonalDown="0" outline="0">
        <left/>
        <right/>
        <top/>
        <bottom/>
      </border>
    </dxf>
    <dxf>
      <font>
        <strike val="0"/>
        <outline val="0"/>
        <shadow val="0"/>
        <u val="none"/>
        <vertAlign val="baseline"/>
        <sz val="8"/>
        <name val="Calibri"/>
        <scheme val="minor"/>
      </font>
    </dxf>
    <dxf>
      <font>
        <b val="0"/>
        <i val="0"/>
        <strike val="0"/>
        <condense val="0"/>
        <extend val="0"/>
        <outline val="0"/>
        <shadow val="0"/>
        <u val="none"/>
        <vertAlign val="baseline"/>
        <sz val="8"/>
        <color theme="1"/>
        <name val="Calibri"/>
        <scheme val="minor"/>
      </font>
      <numFmt numFmtId="34" formatCode="_(&quot;$&quot;* #,##0.00_);_(&quot;$&quot;* \(#,##0.00\);_(&quot;$&quot;* &quot;-&quot;??_);_(@_)"/>
      <border diagonalUp="0" diagonalDown="0" outline="0">
        <left/>
        <right/>
        <top/>
        <bottom/>
      </border>
    </dxf>
    <dxf>
      <font>
        <strike val="0"/>
        <outline val="0"/>
        <shadow val="0"/>
        <u val="none"/>
        <vertAlign val="baseline"/>
        <sz val="8"/>
        <name val="Calibri"/>
        <scheme val="minor"/>
      </font>
    </dxf>
    <dxf>
      <font>
        <b val="0"/>
        <i val="0"/>
        <strike val="0"/>
        <condense val="0"/>
        <extend val="0"/>
        <outline val="0"/>
        <shadow val="0"/>
        <u val="none"/>
        <vertAlign val="baseline"/>
        <sz val="8"/>
        <color theme="1"/>
        <name val="Calibri"/>
        <scheme val="minor"/>
      </font>
      <border diagonalUp="0" diagonalDown="0" outline="0">
        <left/>
        <right/>
        <top/>
        <bottom/>
      </border>
    </dxf>
    <dxf>
      <font>
        <strike val="0"/>
        <outline val="0"/>
        <shadow val="0"/>
        <u val="none"/>
        <vertAlign val="baseline"/>
        <sz val="8"/>
        <name val="Calibri"/>
        <scheme val="minor"/>
      </font>
    </dxf>
    <dxf>
      <font>
        <b val="0"/>
        <i val="0"/>
        <strike val="0"/>
        <condense val="0"/>
        <extend val="0"/>
        <outline val="0"/>
        <shadow val="0"/>
        <u val="none"/>
        <vertAlign val="baseline"/>
        <sz val="8"/>
        <color theme="1"/>
        <name val="Calibri"/>
        <scheme val="minor"/>
      </font>
      <border diagonalUp="0" diagonalDown="0" outline="0">
        <left/>
        <right/>
        <top/>
        <bottom/>
      </border>
    </dxf>
    <dxf>
      <font>
        <strike val="0"/>
        <outline val="0"/>
        <shadow val="0"/>
        <u val="none"/>
        <vertAlign val="baseline"/>
        <sz val="8"/>
        <name val="Calibri"/>
        <scheme val="minor"/>
      </font>
    </dxf>
    <dxf>
      <fill>
        <patternFill patternType="solid">
          <fgColor rgb="FF92D050"/>
          <bgColor rgb="FF000000"/>
        </patternFill>
      </fill>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8"/>
        <name val="Calibri"/>
        <scheme val="minor"/>
      </font>
    </dxf>
    <dxf>
      <font>
        <b val="0"/>
        <i val="0"/>
        <strike val="0"/>
        <condense val="0"/>
        <extend val="0"/>
        <outline val="0"/>
        <shadow val="0"/>
        <u val="none"/>
        <vertAlign val="baseline"/>
        <sz val="8"/>
        <color theme="0"/>
        <name val="Calibri"/>
        <scheme val="minor"/>
      </font>
      <fill>
        <patternFill patternType="solid">
          <fgColor indexed="64"/>
          <bgColor theme="1" tint="4.9989318521683403E-2"/>
        </patternFill>
      </fill>
    </dxf>
    <dxf>
      <numFmt numFmtId="12" formatCode="&quot;$&quot;#,##0.00_);[Red]\(&quot;$&quot;#,##0.00\)"/>
    </dxf>
    <dxf>
      <fill>
        <patternFill patternType="solid">
          <fgColor rgb="FF92D050"/>
          <bgColor rgb="FF000000"/>
        </patternFill>
      </fill>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ables/table1.xml><?xml version="1.0" encoding="utf-8"?>
<table xmlns="http://schemas.openxmlformats.org/spreadsheetml/2006/main" id="2" name="Table2" displayName="Table2" ref="A3:C29" totalsRowShown="0" headerRowDxfId="34">
  <autoFilter ref="A3:C29"/>
  <sortState ref="A4:H28">
    <sortCondition sortBy="cellColor" ref="B3:B28" dxfId="33"/>
  </sortState>
  <tableColumns count="3">
    <tableColumn id="1" name="SCHOOL"/>
    <tableColumn id="2" name="Type"/>
    <tableColumn id="5" name="AVG Meal Plan Rate" dataDxfId="32"/>
  </tableColumns>
  <tableStyleInfo name="TableStyleLight8" showFirstColumn="0" showLastColumn="0" showRowStripes="1" showColumnStripes="0"/>
</table>
</file>

<file path=xl/tables/table2.xml><?xml version="1.0" encoding="utf-8"?>
<table xmlns="http://schemas.openxmlformats.org/spreadsheetml/2006/main" id="1" name="Table1" displayName="Table1" ref="A5:N59" totalsRowShown="0" headerRowDxfId="31" dataDxfId="30" totalsRowDxfId="29">
  <autoFilter ref="A5:N59"/>
  <sortState ref="A6:L59">
    <sortCondition sortBy="cellColor" ref="B5:B59" dxfId="28"/>
  </sortState>
  <tableColumns count="14">
    <tableColumn id="1" name="SCHOOL" dataDxfId="27" totalsRowDxfId="26"/>
    <tableColumn id="2" name="Type" dataDxfId="25" totalsRowDxfId="24"/>
    <tableColumn id="3" name="Avg Sing Trad" dataDxfId="23" totalsRowDxfId="22" dataCellStyle="Currency">
      <calculatedColumnFormula>CWU!B17</calculatedColumnFormula>
    </tableColumn>
    <tableColumn id="4" name="Avg Dbl Trad" dataDxfId="21" totalsRowDxfId="20" dataCellStyle="Currency">
      <calculatedColumnFormula>CWU!C17</calculatedColumnFormula>
    </tableColumn>
    <tableColumn id="5" name="Avg Trip Trad" dataDxfId="19" totalsRowDxfId="18" dataCellStyle="Currency">
      <calculatedColumnFormula>SPU!D13</calculatedColumnFormula>
    </tableColumn>
    <tableColumn id="6" name="Avg Sing Sui" dataDxfId="17" totalsRowDxfId="16" dataCellStyle="Currency">
      <calculatedColumnFormula>CWU!H17</calculatedColumnFormula>
    </tableColumn>
    <tableColumn id="7" name="Avg Dbl Sui" dataDxfId="15" totalsRowDxfId="14" dataCellStyle="Currency">
      <calculatedColumnFormula>CWU!I17</calculatedColumnFormula>
    </tableColumn>
    <tableColumn id="8" name="Avg Trip Sui" dataDxfId="13" totalsRowDxfId="12" dataCellStyle="Currency">
      <calculatedColumnFormula>CWU!J17</calculatedColumnFormula>
    </tableColumn>
    <tableColumn id="9" name="Avg Sing Apt" dataDxfId="11" totalsRowDxfId="10" dataCellStyle="Currency"/>
    <tableColumn id="10" name="Avg Dbl Apt" dataDxfId="9" totalsRowDxfId="8" dataCellStyle="Currency">
      <calculatedColumnFormula>SPU!I31</calculatedColumnFormula>
    </tableColumn>
    <tableColumn id="11" name="Room Rate Average" dataDxfId="7" totalsRowDxfId="6" dataCellStyle="Currency"/>
    <tableColumn id="12" name="Total Average Cost" dataDxfId="5" totalsRowDxfId="4" dataCellStyle="Currency">
      <calculatedColumnFormula>K6+SumaryMP1516!C4</calculatedColumnFormula>
    </tableColumn>
    <tableColumn id="13" name="Total Average Cost Ratio" dataDxfId="3" totalsRowDxfId="2" dataCellStyle="Currency">
      <calculatedColumnFormula>L6/#REF!</calculatedColumnFormula>
    </tableColumn>
    <tableColumn id="14" name="Room Rate Average Cost Ratio" dataDxfId="1" totalsRowDxfId="0" dataCellStyle="Currency">
      <calculatedColumnFormula>L6/#REF!</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4"/>
  <sheetViews>
    <sheetView workbookViewId="0">
      <selection activeCell="D34" sqref="D34"/>
    </sheetView>
  </sheetViews>
  <sheetFormatPr defaultRowHeight="15" x14ac:dyDescent="0.25"/>
  <cols>
    <col min="1" max="1" width="39.28515625" customWidth="1"/>
    <col min="3" max="3" width="21.42578125" customWidth="1"/>
    <col min="4" max="4" width="19.5703125" customWidth="1"/>
    <col min="5" max="5" width="20.5703125" bestFit="1" customWidth="1"/>
    <col min="6" max="6" width="10.5703125" customWidth="1"/>
    <col min="7" max="7" width="20" customWidth="1"/>
    <col min="8" max="8" width="10.28515625" customWidth="1"/>
  </cols>
  <sheetData>
    <row r="2" spans="1:8" x14ac:dyDescent="0.25">
      <c r="A2" s="2" t="s">
        <v>283</v>
      </c>
      <c r="B2" s="2"/>
      <c r="C2" s="2"/>
      <c r="D2" s="2"/>
      <c r="E2" s="2"/>
      <c r="F2" s="2"/>
      <c r="G2" s="2"/>
      <c r="H2" s="2"/>
    </row>
    <row r="3" spans="1:8" x14ac:dyDescent="0.25">
      <c r="A3" s="6" t="s">
        <v>0</v>
      </c>
      <c r="B3" s="6" t="s">
        <v>1</v>
      </c>
      <c r="C3" s="6" t="s">
        <v>280</v>
      </c>
    </row>
    <row r="4" spans="1:8" x14ac:dyDescent="0.25">
      <c r="A4" s="2" t="s">
        <v>15</v>
      </c>
      <c r="B4" s="5" t="s">
        <v>16</v>
      </c>
      <c r="C4" s="26">
        <f>CWU!E54</f>
        <v>1738.0000000000002</v>
      </c>
    </row>
    <row r="5" spans="1:8" x14ac:dyDescent="0.25">
      <c r="A5" s="2" t="s">
        <v>17</v>
      </c>
      <c r="B5" s="5" t="s">
        <v>16</v>
      </c>
      <c r="C5" s="26">
        <f>EWU!E61</f>
        <v>1491.6666666666667</v>
      </c>
    </row>
    <row r="6" spans="1:8" x14ac:dyDescent="0.25">
      <c r="A6" s="2" t="s">
        <v>18</v>
      </c>
      <c r="B6" s="5" t="s">
        <v>16</v>
      </c>
      <c r="C6" s="26">
        <f>ESC!E54</f>
        <v>1264.2666666666667</v>
      </c>
    </row>
    <row r="7" spans="1:8" x14ac:dyDescent="0.25">
      <c r="A7" s="2" t="s">
        <v>19</v>
      </c>
      <c r="B7" s="5" t="s">
        <v>16</v>
      </c>
      <c r="C7" s="26">
        <f>SMU!E54</f>
        <v>1732.2222222222224</v>
      </c>
    </row>
    <row r="8" spans="1:8" x14ac:dyDescent="0.25">
      <c r="A8" s="2" t="s">
        <v>20</v>
      </c>
      <c r="B8" s="5" t="s">
        <v>16</v>
      </c>
      <c r="C8" s="26">
        <f>SPU!E54</f>
        <v>1437.5</v>
      </c>
    </row>
    <row r="9" spans="1:8" x14ac:dyDescent="0.25">
      <c r="A9" s="2" t="s">
        <v>21</v>
      </c>
      <c r="B9" s="5" t="s">
        <v>16</v>
      </c>
      <c r="C9" s="26">
        <f>UPS!E54</f>
        <v>1775</v>
      </c>
    </row>
    <row r="10" spans="1:8" x14ac:dyDescent="0.25">
      <c r="A10" s="2" t="s">
        <v>22</v>
      </c>
      <c r="B10" s="5" t="s">
        <v>16</v>
      </c>
      <c r="C10" s="26">
        <f>'UW-S'!E59</f>
        <v>1148.7142857142858</v>
      </c>
    </row>
    <row r="11" spans="1:8" x14ac:dyDescent="0.25">
      <c r="A11" s="2" t="s">
        <v>23</v>
      </c>
      <c r="B11" s="5" t="s">
        <v>16</v>
      </c>
      <c r="C11" s="46"/>
    </row>
    <row r="12" spans="1:8" x14ac:dyDescent="0.25">
      <c r="A12" s="2" t="s">
        <v>26</v>
      </c>
      <c r="B12" s="5" t="s">
        <v>16</v>
      </c>
      <c r="C12" s="26">
        <f>WSU!E54</f>
        <v>2024</v>
      </c>
    </row>
    <row r="13" spans="1:8" x14ac:dyDescent="0.25">
      <c r="A13" s="2" t="s">
        <v>2</v>
      </c>
      <c r="B13" s="7" t="s">
        <v>3</v>
      </c>
      <c r="C13" s="26">
        <f>CSMB!E54</f>
        <v>1186.6666666666665</v>
      </c>
    </row>
    <row r="14" spans="1:8" x14ac:dyDescent="0.25">
      <c r="A14" s="2" t="s">
        <v>4</v>
      </c>
      <c r="B14" s="7" t="s">
        <v>3</v>
      </c>
      <c r="C14" s="26">
        <f>FSU!E54</f>
        <v>1564.92</v>
      </c>
    </row>
    <row r="15" spans="1:8" x14ac:dyDescent="0.25">
      <c r="A15" s="2" t="s">
        <v>5</v>
      </c>
      <c r="B15" s="7" t="s">
        <v>3</v>
      </c>
      <c r="C15" s="26">
        <f>'MSU-B'!E54</f>
        <v>1014.111111111111</v>
      </c>
    </row>
    <row r="16" spans="1:8" x14ac:dyDescent="0.25">
      <c r="A16" s="2" t="s">
        <v>6</v>
      </c>
      <c r="B16" s="7" t="s">
        <v>3</v>
      </c>
      <c r="C16" s="26">
        <f>'RU-C'!E54</f>
        <v>1114</v>
      </c>
    </row>
    <row r="17" spans="1:8" x14ac:dyDescent="0.25">
      <c r="A17" s="2" t="s">
        <v>7</v>
      </c>
      <c r="B17" s="7" t="s">
        <v>3</v>
      </c>
      <c r="C17" s="26">
        <f>UIS!E54</f>
        <v>1293.75</v>
      </c>
    </row>
    <row r="18" spans="1:8" x14ac:dyDescent="0.25">
      <c r="A18" s="2" t="s">
        <v>8</v>
      </c>
      <c r="B18" s="7" t="s">
        <v>3</v>
      </c>
      <c r="C18" s="26">
        <f>UMW!E54</f>
        <v>1138</v>
      </c>
    </row>
    <row r="19" spans="1:8" x14ac:dyDescent="0.25">
      <c r="A19" s="2" t="s">
        <v>9</v>
      </c>
      <c r="B19" s="7" t="s">
        <v>3</v>
      </c>
      <c r="C19" s="26">
        <f>UWP!E54</f>
        <v>1010.8333333333333</v>
      </c>
    </row>
    <row r="20" spans="1:8" x14ac:dyDescent="0.25">
      <c r="A20" s="2" t="s">
        <v>10</v>
      </c>
      <c r="B20" s="7" t="s">
        <v>3</v>
      </c>
      <c r="C20" s="26">
        <f>BU!E54</f>
        <v>2876.5</v>
      </c>
    </row>
    <row r="21" spans="1:8" x14ac:dyDescent="0.25">
      <c r="A21" s="2" t="s">
        <v>11</v>
      </c>
      <c r="B21" s="4" t="s">
        <v>12</v>
      </c>
      <c r="C21" s="26">
        <f>WWU!E54</f>
        <v>1082.6666666666667</v>
      </c>
    </row>
    <row r="22" spans="1:8" x14ac:dyDescent="0.25">
      <c r="A22" s="2" t="s">
        <v>13</v>
      </c>
      <c r="B22" s="4" t="s">
        <v>12</v>
      </c>
      <c r="C22" s="26">
        <f>GU!E54</f>
        <v>1705.3333333333333</v>
      </c>
    </row>
    <row r="23" spans="1:8" x14ac:dyDescent="0.25">
      <c r="A23" s="2" t="s">
        <v>14</v>
      </c>
      <c r="B23" s="4" t="s">
        <v>12</v>
      </c>
      <c r="C23" s="26">
        <f>SU!E54</f>
        <v>1633</v>
      </c>
    </row>
    <row r="24" spans="1:8" x14ac:dyDescent="0.25">
      <c r="A24" s="68" t="s">
        <v>24</v>
      </c>
      <c r="B24" s="69" t="s">
        <v>25</v>
      </c>
      <c r="C24" s="47"/>
      <c r="E24" s="45"/>
    </row>
    <row r="25" spans="1:8" ht="3" customHeight="1" x14ac:dyDescent="0.25">
      <c r="A25" s="8"/>
      <c r="B25" s="8"/>
      <c r="C25" s="8"/>
    </row>
    <row r="26" spans="1:8" x14ac:dyDescent="0.25">
      <c r="A26" s="2" t="s">
        <v>27</v>
      </c>
      <c r="B26" s="2" t="s">
        <v>3</v>
      </c>
      <c r="C26" s="1">
        <f>AVERAGE(C13:C20)</f>
        <v>1399.8476388888889</v>
      </c>
    </row>
    <row r="27" spans="1:8" x14ac:dyDescent="0.25">
      <c r="A27" s="2" t="s">
        <v>28</v>
      </c>
      <c r="B27" s="2" t="s">
        <v>16</v>
      </c>
      <c r="C27" s="1">
        <f>AVERAGE(C4:C12)</f>
        <v>1576.4212301587304</v>
      </c>
    </row>
    <row r="28" spans="1:8" x14ac:dyDescent="0.25">
      <c r="A28" t="s">
        <v>281</v>
      </c>
      <c r="B28" t="s">
        <v>12</v>
      </c>
      <c r="C28" s="1">
        <f>AVERAGE(C21:C23)</f>
        <v>1473.6666666666667</v>
      </c>
    </row>
    <row r="29" spans="1:8" x14ac:dyDescent="0.25">
      <c r="A29" s="2" t="s">
        <v>29</v>
      </c>
      <c r="B29" s="2" t="s">
        <v>282</v>
      </c>
      <c r="C29" s="1">
        <f>AVERAGE(C4:C23)</f>
        <v>1485.8500501253134</v>
      </c>
      <c r="D29" s="2"/>
      <c r="E29" s="2"/>
      <c r="F29" s="2"/>
      <c r="G29" s="2"/>
      <c r="H29" s="2"/>
    </row>
    <row r="30" spans="1:8" x14ac:dyDescent="0.25">
      <c r="A30" s="2"/>
      <c r="B30" s="2"/>
      <c r="C30" s="2"/>
      <c r="D30" s="2"/>
      <c r="E30" s="2"/>
      <c r="F30" s="2"/>
      <c r="G30" s="2"/>
      <c r="H30" s="2"/>
    </row>
    <row r="31" spans="1:8" x14ac:dyDescent="0.25">
      <c r="A31" s="2" t="s">
        <v>138</v>
      </c>
      <c r="B31" s="2"/>
      <c r="C31" s="2"/>
      <c r="D31" s="2"/>
      <c r="E31" s="2"/>
      <c r="F31" s="2"/>
      <c r="G31" s="2"/>
      <c r="H31" s="2"/>
    </row>
    <row r="32" spans="1:8" x14ac:dyDescent="0.25">
      <c r="B32" s="2"/>
      <c r="C32" s="2"/>
      <c r="D32" s="2"/>
      <c r="E32" s="2"/>
      <c r="F32" s="2"/>
      <c r="G32" s="2"/>
      <c r="H32" s="2"/>
    </row>
    <row r="33" spans="1:8" x14ac:dyDescent="0.25">
      <c r="A33" s="2"/>
      <c r="B33" s="2"/>
      <c r="C33" s="2"/>
      <c r="D33" s="2"/>
      <c r="E33" s="2"/>
      <c r="F33" s="2"/>
      <c r="G33" s="2"/>
      <c r="H33" s="2"/>
    </row>
    <row r="34" spans="1:8" x14ac:dyDescent="0.25">
      <c r="B34" s="2"/>
      <c r="C34" s="2"/>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topLeftCell="A10" workbookViewId="0">
      <selection activeCell="H37" sqref="H37"/>
    </sheetView>
  </sheetViews>
  <sheetFormatPr defaultRowHeight="15" x14ac:dyDescent="0.25"/>
  <cols>
    <col min="1" max="1" width="9.140625" style="9"/>
    <col min="2" max="5" width="10.5703125" style="9" bestFit="1" customWidth="1"/>
    <col min="6" max="7" width="9.140625" style="9"/>
    <col min="8" max="9" width="10.5703125" style="9" bestFit="1" customWidth="1"/>
    <col min="10" max="16384" width="9.140625" style="9"/>
  </cols>
  <sheetData>
    <row r="1" spans="1:11" ht="15.75" x14ac:dyDescent="0.25">
      <c r="A1" s="72" t="s">
        <v>74</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159</v>
      </c>
      <c r="B3" s="13">
        <v>2359</v>
      </c>
      <c r="C3" s="13">
        <v>1927</v>
      </c>
      <c r="D3" s="13"/>
      <c r="E3" s="13"/>
      <c r="G3" s="12" t="s">
        <v>80</v>
      </c>
      <c r="H3" s="13"/>
      <c r="I3" s="13"/>
      <c r="J3" s="13"/>
      <c r="K3" s="13"/>
    </row>
    <row r="4" spans="1:11" x14ac:dyDescent="0.25">
      <c r="A4" s="12" t="s">
        <v>160</v>
      </c>
      <c r="B4" s="13">
        <v>2359</v>
      </c>
      <c r="C4" s="13">
        <v>1927</v>
      </c>
      <c r="D4" s="13"/>
      <c r="E4" s="13"/>
      <c r="G4" s="12" t="s">
        <v>81</v>
      </c>
      <c r="H4" s="13"/>
      <c r="I4" s="13"/>
      <c r="J4" s="13"/>
      <c r="K4" s="13"/>
    </row>
    <row r="5" spans="1:11" x14ac:dyDescent="0.25">
      <c r="A5" s="12" t="s">
        <v>161</v>
      </c>
      <c r="B5" s="13">
        <v>2359</v>
      </c>
      <c r="C5" s="13">
        <v>1927</v>
      </c>
      <c r="D5" s="13"/>
      <c r="E5" s="13"/>
      <c r="G5" s="12" t="s">
        <v>82</v>
      </c>
      <c r="H5" s="13"/>
      <c r="I5" s="13"/>
      <c r="J5" s="13"/>
      <c r="K5" s="13"/>
    </row>
    <row r="6" spans="1:11" x14ac:dyDescent="0.25">
      <c r="A6" s="12">
        <v>2104</v>
      </c>
      <c r="B6" s="13">
        <v>2359</v>
      </c>
      <c r="C6" s="13">
        <v>1927</v>
      </c>
      <c r="D6" s="13"/>
      <c r="E6" s="13"/>
      <c r="G6" s="12" t="s">
        <v>83</v>
      </c>
      <c r="H6" s="13"/>
      <c r="I6" s="13"/>
      <c r="J6" s="13"/>
      <c r="K6" s="13"/>
    </row>
    <row r="7" spans="1:11" x14ac:dyDescent="0.25">
      <c r="A7" s="12" t="s">
        <v>162</v>
      </c>
      <c r="B7" s="13">
        <v>3448</v>
      </c>
      <c r="C7" s="13">
        <v>2876</v>
      </c>
      <c r="D7" s="13">
        <v>2309</v>
      </c>
      <c r="E7" s="13"/>
      <c r="G7" s="12" t="s">
        <v>84</v>
      </c>
      <c r="H7" s="13"/>
      <c r="I7" s="13"/>
      <c r="J7" s="13"/>
      <c r="K7" s="13"/>
    </row>
    <row r="8" spans="1:11" x14ac:dyDescent="0.25">
      <c r="A8" s="12" t="s">
        <v>163</v>
      </c>
      <c r="B8" s="13">
        <v>3448</v>
      </c>
      <c r="C8" s="13">
        <v>2876</v>
      </c>
      <c r="D8" s="13">
        <v>2309</v>
      </c>
      <c r="E8" s="13"/>
      <c r="G8" s="12" t="s">
        <v>85</v>
      </c>
      <c r="H8" s="13"/>
      <c r="I8" s="13"/>
      <c r="J8" s="13"/>
      <c r="K8" s="13"/>
    </row>
    <row r="9" spans="1:11" x14ac:dyDescent="0.25">
      <c r="A9" s="12" t="s">
        <v>164</v>
      </c>
      <c r="B9" s="13">
        <v>3387</v>
      </c>
      <c r="C9" s="13">
        <v>2876</v>
      </c>
      <c r="D9" s="13">
        <v>2309</v>
      </c>
      <c r="E9" s="13"/>
      <c r="G9" s="12" t="s">
        <v>86</v>
      </c>
      <c r="H9" s="13"/>
      <c r="I9" s="13"/>
      <c r="J9" s="13"/>
      <c r="K9" s="13"/>
    </row>
    <row r="10" spans="1:11" x14ac:dyDescent="0.25">
      <c r="A10" s="12" t="s">
        <v>164</v>
      </c>
      <c r="B10" s="13">
        <v>3448</v>
      </c>
      <c r="C10" s="13"/>
      <c r="D10" s="13"/>
      <c r="E10" s="13"/>
      <c r="G10" s="12" t="s">
        <v>87</v>
      </c>
      <c r="H10" s="13"/>
      <c r="I10" s="13"/>
      <c r="J10" s="13"/>
      <c r="K10" s="13"/>
    </row>
    <row r="11" spans="1:11" x14ac:dyDescent="0.25">
      <c r="A11" s="12" t="s">
        <v>165</v>
      </c>
      <c r="B11" s="13">
        <v>3387</v>
      </c>
      <c r="C11" s="13">
        <v>2876</v>
      </c>
      <c r="D11" s="13"/>
      <c r="E11" s="13"/>
      <c r="G11" s="12" t="s">
        <v>88</v>
      </c>
      <c r="H11" s="13"/>
      <c r="I11" s="13"/>
      <c r="J11" s="13"/>
      <c r="K11" s="13"/>
    </row>
    <row r="12" spans="1:11" x14ac:dyDescent="0.25">
      <c r="A12" s="12" t="s">
        <v>166</v>
      </c>
      <c r="B12" s="13">
        <v>3448</v>
      </c>
      <c r="C12" s="13">
        <v>2876</v>
      </c>
      <c r="D12" s="13">
        <v>2309</v>
      </c>
      <c r="E12" s="13"/>
      <c r="G12" s="12" t="s">
        <v>89</v>
      </c>
      <c r="H12" s="13"/>
      <c r="I12" s="13"/>
      <c r="J12" s="13"/>
      <c r="K12" s="13"/>
    </row>
    <row r="13" spans="1:11" x14ac:dyDescent="0.25">
      <c r="A13" s="12" t="s">
        <v>167</v>
      </c>
      <c r="B13" s="13">
        <v>3448</v>
      </c>
      <c r="C13" s="13">
        <v>2876</v>
      </c>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3" ht="15.75" thickBot="1" x14ac:dyDescent="0.3">
      <c r="A17" s="11" t="s">
        <v>94</v>
      </c>
      <c r="B17" s="16">
        <f>AVERAGE(B1:B16)</f>
        <v>3040.909090909091</v>
      </c>
      <c r="C17" s="16">
        <f t="shared" ref="C17:D17" si="0">AVERAGE(C1:C16)</f>
        <v>2496.4</v>
      </c>
      <c r="D17" s="16">
        <f t="shared" si="0"/>
        <v>2309</v>
      </c>
      <c r="E17" s="16"/>
      <c r="G17" s="11" t="s">
        <v>94</v>
      </c>
      <c r="H17" s="16"/>
      <c r="I17" s="16"/>
      <c r="J17" s="16"/>
      <c r="K17" s="16"/>
    </row>
    <row r="18" spans="1:13" ht="15.75" thickTop="1" x14ac:dyDescent="0.25"/>
    <row r="19" spans="1:13" ht="15.75" x14ac:dyDescent="0.25">
      <c r="A19" s="72" t="s">
        <v>95</v>
      </c>
      <c r="B19" s="72"/>
      <c r="C19" s="72"/>
      <c r="D19" s="72"/>
      <c r="E19" s="72"/>
      <c r="G19" s="72" t="s">
        <v>96</v>
      </c>
      <c r="H19" s="72"/>
      <c r="I19" s="72"/>
      <c r="J19" s="72"/>
      <c r="K19" s="72"/>
    </row>
    <row r="20" spans="1:13" x14ac:dyDescent="0.25">
      <c r="A20" s="12"/>
      <c r="B20" s="17" t="s">
        <v>76</v>
      </c>
      <c r="C20" s="17" t="s">
        <v>77</v>
      </c>
      <c r="D20" s="17" t="s">
        <v>78</v>
      </c>
      <c r="E20" s="17" t="s">
        <v>79</v>
      </c>
      <c r="F20" s="18"/>
      <c r="G20" s="17"/>
      <c r="H20" s="17" t="s">
        <v>76</v>
      </c>
      <c r="I20" s="17" t="s">
        <v>77</v>
      </c>
      <c r="J20" s="17" t="s">
        <v>78</v>
      </c>
      <c r="K20" s="17" t="s">
        <v>79</v>
      </c>
      <c r="M20" s="9">
        <v>2359</v>
      </c>
    </row>
    <row r="21" spans="1:13" x14ac:dyDescent="0.25">
      <c r="A21" s="12" t="s">
        <v>80</v>
      </c>
      <c r="B21" s="13"/>
      <c r="C21" s="13"/>
      <c r="D21" s="13"/>
      <c r="E21" s="13"/>
      <c r="G21" s="12" t="s">
        <v>168</v>
      </c>
      <c r="H21" s="13"/>
      <c r="I21" s="13">
        <v>2876</v>
      </c>
      <c r="J21" s="13"/>
      <c r="K21" s="13"/>
      <c r="M21" s="9">
        <v>3161</v>
      </c>
    </row>
    <row r="22" spans="1:13" x14ac:dyDescent="0.25">
      <c r="A22" s="12" t="s">
        <v>81</v>
      </c>
      <c r="B22" s="13"/>
      <c r="C22" s="13"/>
      <c r="D22" s="13"/>
      <c r="E22" s="13"/>
      <c r="G22" s="12" t="s">
        <v>169</v>
      </c>
      <c r="H22" s="13">
        <v>3161</v>
      </c>
      <c r="I22" s="13"/>
      <c r="J22" s="13"/>
      <c r="K22" s="13"/>
      <c r="M22" s="9">
        <v>3317</v>
      </c>
    </row>
    <row r="23" spans="1:13" x14ac:dyDescent="0.25">
      <c r="A23" s="12" t="s">
        <v>82</v>
      </c>
      <c r="B23" s="13"/>
      <c r="C23" s="13"/>
      <c r="D23" s="13"/>
      <c r="E23" s="13"/>
      <c r="G23" s="12" t="s">
        <v>170</v>
      </c>
      <c r="H23" s="13">
        <v>3317</v>
      </c>
      <c r="I23" s="13"/>
      <c r="J23" s="13"/>
      <c r="K23" s="13"/>
      <c r="M23" s="9">
        <v>3666</v>
      </c>
    </row>
    <row r="24" spans="1:13" x14ac:dyDescent="0.25">
      <c r="A24" s="12" t="s">
        <v>83</v>
      </c>
      <c r="B24" s="13"/>
      <c r="C24" s="13"/>
      <c r="D24" s="13"/>
      <c r="E24" s="13"/>
      <c r="G24" s="12" t="s">
        <v>171</v>
      </c>
      <c r="H24" s="13">
        <v>3666</v>
      </c>
      <c r="I24" s="13"/>
      <c r="J24" s="13"/>
      <c r="K24" s="13"/>
      <c r="M24" s="9">
        <v>3592</v>
      </c>
    </row>
    <row r="25" spans="1:13" x14ac:dyDescent="0.25">
      <c r="A25" s="12" t="s">
        <v>84</v>
      </c>
      <c r="B25" s="13"/>
      <c r="C25" s="13"/>
      <c r="D25" s="13"/>
      <c r="E25" s="13"/>
      <c r="G25" s="12" t="s">
        <v>172</v>
      </c>
      <c r="H25" s="13">
        <v>3592</v>
      </c>
      <c r="I25" s="13"/>
      <c r="J25" s="13"/>
      <c r="K25" s="13"/>
      <c r="M25" s="9">
        <v>3712</v>
      </c>
    </row>
    <row r="26" spans="1:13" x14ac:dyDescent="0.25">
      <c r="A26" s="12" t="s">
        <v>85</v>
      </c>
      <c r="B26" s="13"/>
      <c r="C26" s="13"/>
      <c r="D26" s="13"/>
      <c r="E26" s="13"/>
      <c r="G26" s="12" t="s">
        <v>175</v>
      </c>
      <c r="H26" s="13">
        <v>3592</v>
      </c>
      <c r="I26" s="13"/>
      <c r="J26" s="13"/>
      <c r="K26" s="13"/>
      <c r="M26" s="9">
        <v>2530</v>
      </c>
    </row>
    <row r="27" spans="1:13" x14ac:dyDescent="0.25">
      <c r="A27" s="12" t="s">
        <v>86</v>
      </c>
      <c r="B27" s="13"/>
      <c r="C27" s="13"/>
      <c r="D27" s="13"/>
      <c r="E27" s="13"/>
      <c r="G27" s="12" t="s">
        <v>173</v>
      </c>
      <c r="H27" s="13">
        <v>3712</v>
      </c>
      <c r="I27" s="13"/>
      <c r="J27" s="13"/>
      <c r="K27" s="13"/>
      <c r="M27" s="9">
        <v>3776</v>
      </c>
    </row>
    <row r="28" spans="1:13" x14ac:dyDescent="0.25">
      <c r="A28" s="12" t="s">
        <v>87</v>
      </c>
      <c r="B28" s="13"/>
      <c r="C28" s="13"/>
      <c r="D28" s="13"/>
      <c r="E28" s="13"/>
      <c r="G28" s="12" t="s">
        <v>174</v>
      </c>
      <c r="H28" s="13">
        <v>3712</v>
      </c>
      <c r="I28" s="13"/>
      <c r="J28" s="13"/>
      <c r="K28" s="13"/>
      <c r="M28" s="9">
        <v>3448</v>
      </c>
    </row>
    <row r="29" spans="1:13" x14ac:dyDescent="0.25">
      <c r="A29" s="12" t="s">
        <v>88</v>
      </c>
      <c r="B29" s="13"/>
      <c r="C29" s="13"/>
      <c r="D29" s="13"/>
      <c r="E29" s="13"/>
      <c r="G29" s="12" t="s">
        <v>176</v>
      </c>
      <c r="H29" s="13">
        <v>3448</v>
      </c>
      <c r="I29" s="13"/>
      <c r="J29" s="13"/>
      <c r="K29" s="13"/>
    </row>
    <row r="30" spans="1:13" x14ac:dyDescent="0.25">
      <c r="A30" s="12" t="s">
        <v>89</v>
      </c>
      <c r="B30" s="13"/>
      <c r="C30" s="13"/>
      <c r="D30" s="13"/>
      <c r="E30" s="13"/>
      <c r="G30" s="12" t="s">
        <v>177</v>
      </c>
      <c r="H30" s="13">
        <v>2518</v>
      </c>
      <c r="I30" s="13"/>
      <c r="J30" s="13"/>
      <c r="K30" s="13"/>
    </row>
    <row r="31" spans="1:13" x14ac:dyDescent="0.25">
      <c r="A31" s="12" t="s">
        <v>90</v>
      </c>
      <c r="B31" s="13"/>
      <c r="C31" s="13"/>
      <c r="D31" s="13"/>
      <c r="E31" s="13"/>
      <c r="G31" s="12" t="s">
        <v>178</v>
      </c>
      <c r="H31" s="13">
        <v>2518</v>
      </c>
      <c r="I31" s="13"/>
      <c r="J31" s="13"/>
      <c r="K31" s="13"/>
    </row>
    <row r="32" spans="1:13" x14ac:dyDescent="0.25">
      <c r="A32" s="12" t="s">
        <v>91</v>
      </c>
      <c r="B32" s="13"/>
      <c r="C32" s="13"/>
      <c r="D32" s="13"/>
      <c r="E32" s="13"/>
      <c r="G32" s="12" t="s">
        <v>179</v>
      </c>
      <c r="H32" s="13">
        <f>((1107*12)*0.572602739726027)/3</f>
        <v>2535.4849315068477</v>
      </c>
      <c r="I32" s="13"/>
      <c r="J32" s="13"/>
      <c r="K32" s="13"/>
    </row>
    <row r="33" spans="1:11" x14ac:dyDescent="0.25">
      <c r="A33" s="12" t="s">
        <v>92</v>
      </c>
      <c r="B33" s="13"/>
      <c r="C33" s="13"/>
      <c r="D33" s="13"/>
      <c r="E33" s="13"/>
      <c r="G33" s="12" t="s">
        <v>180</v>
      </c>
      <c r="H33" s="13">
        <f>((1087*12)*0.572602739726027)/3</f>
        <v>2489.6767123287655</v>
      </c>
      <c r="I33" s="13"/>
      <c r="J33" s="13"/>
      <c r="K33" s="13"/>
    </row>
    <row r="34" spans="1:11" x14ac:dyDescent="0.25">
      <c r="A34" s="19"/>
      <c r="B34" s="20"/>
      <c r="C34" s="20"/>
      <c r="D34" s="20"/>
      <c r="E34" s="20"/>
      <c r="G34" s="19" t="s">
        <v>181</v>
      </c>
      <c r="H34" s="20">
        <f>((1144*12)*0.572602739726027)/3</f>
        <v>2620.2301369862998</v>
      </c>
      <c r="I34" s="20"/>
      <c r="J34" s="20"/>
      <c r="K34" s="20"/>
    </row>
    <row r="35" spans="1:11" x14ac:dyDescent="0.25">
      <c r="A35" s="19"/>
      <c r="B35" s="20"/>
      <c r="C35" s="20"/>
      <c r="D35" s="20"/>
      <c r="E35" s="20"/>
      <c r="G35" s="19" t="s">
        <v>182</v>
      </c>
      <c r="H35" s="20">
        <f>((838*12)*0.572602739726027)/3</f>
        <v>1919.3643835616429</v>
      </c>
      <c r="I35" s="20"/>
      <c r="J35" s="20"/>
      <c r="K35" s="20"/>
    </row>
    <row r="36" spans="1:11" ht="15.75" thickBot="1" x14ac:dyDescent="0.3">
      <c r="A36" s="14" t="s">
        <v>93</v>
      </c>
      <c r="B36" s="15"/>
      <c r="C36" s="15"/>
      <c r="D36" s="15"/>
      <c r="E36" s="15"/>
      <c r="G36" s="14" t="s">
        <v>183</v>
      </c>
      <c r="H36" s="15">
        <f>((838*12)*0.572602739726027)/3</f>
        <v>1919.3643835616429</v>
      </c>
      <c r="I36" s="15"/>
      <c r="J36" s="15"/>
      <c r="K36" s="15"/>
    </row>
    <row r="37" spans="1:11" ht="15.75" thickBot="1" x14ac:dyDescent="0.3">
      <c r="A37" s="11" t="s">
        <v>94</v>
      </c>
      <c r="B37" s="16"/>
      <c r="C37" s="16"/>
      <c r="D37" s="16"/>
      <c r="E37" s="16"/>
      <c r="G37" s="11" t="s">
        <v>94</v>
      </c>
      <c r="H37" s="16">
        <f>AVERAGE(H21:H36)</f>
        <v>2981.3413698630134</v>
      </c>
      <c r="I37" s="16">
        <f t="shared" ref="I37" si="1">AVERAGE(I21:I36)</f>
        <v>2876</v>
      </c>
      <c r="J37" s="16"/>
      <c r="K37" s="16"/>
    </row>
    <row r="38" spans="1:11" ht="15.75" thickTop="1" x14ac:dyDescent="0.25"/>
    <row r="40" spans="1:11" ht="15.75" x14ac:dyDescent="0.25">
      <c r="A40" s="72" t="s">
        <v>97</v>
      </c>
      <c r="B40" s="72"/>
      <c r="C40" s="72"/>
      <c r="D40" s="72"/>
      <c r="E40" s="72"/>
    </row>
    <row r="41" spans="1:11" x14ac:dyDescent="0.25">
      <c r="A41" s="12"/>
      <c r="B41" s="17" t="s">
        <v>98</v>
      </c>
      <c r="C41" s="17" t="s">
        <v>99</v>
      </c>
      <c r="D41" s="17" t="s">
        <v>100</v>
      </c>
      <c r="E41" s="17" t="s">
        <v>101</v>
      </c>
    </row>
    <row r="42" spans="1:11" x14ac:dyDescent="0.25">
      <c r="A42" s="12" t="s">
        <v>102</v>
      </c>
      <c r="B42" s="13" t="s">
        <v>144</v>
      </c>
      <c r="C42" s="13" t="s">
        <v>141</v>
      </c>
      <c r="D42" s="13" t="s">
        <v>254</v>
      </c>
      <c r="E42" s="13">
        <f>5652/3</f>
        <v>1884</v>
      </c>
    </row>
    <row r="43" spans="1:11" x14ac:dyDescent="0.25">
      <c r="A43" s="12" t="s">
        <v>103</v>
      </c>
      <c r="B43" s="13" t="s">
        <v>144</v>
      </c>
      <c r="C43" s="13" t="s">
        <v>141</v>
      </c>
      <c r="D43" s="13" t="s">
        <v>255</v>
      </c>
      <c r="E43" s="13">
        <f>4215/3</f>
        <v>1405</v>
      </c>
    </row>
    <row r="44" spans="1:11" x14ac:dyDescent="0.25">
      <c r="A44" s="12" t="s">
        <v>104</v>
      </c>
      <c r="B44" s="13" t="s">
        <v>144</v>
      </c>
      <c r="C44" s="13" t="s">
        <v>141</v>
      </c>
      <c r="D44" s="13" t="s">
        <v>256</v>
      </c>
      <c r="E44" s="13">
        <f>3513/3</f>
        <v>1171</v>
      </c>
    </row>
    <row r="45" spans="1:11" x14ac:dyDescent="0.25">
      <c r="A45" s="12" t="s">
        <v>105</v>
      </c>
      <c r="B45" s="13" t="s">
        <v>144</v>
      </c>
      <c r="C45" s="13" t="s">
        <v>141</v>
      </c>
      <c r="D45" s="13" t="s">
        <v>257</v>
      </c>
      <c r="E45" s="13">
        <f>3162/3</f>
        <v>1054</v>
      </c>
    </row>
    <row r="46" spans="1:11" x14ac:dyDescent="0.25">
      <c r="A46" s="12" t="s">
        <v>106</v>
      </c>
      <c r="B46" s="13" t="s">
        <v>144</v>
      </c>
      <c r="C46" s="13" t="s">
        <v>141</v>
      </c>
      <c r="D46" s="13" t="s">
        <v>258</v>
      </c>
      <c r="E46" s="13">
        <f>2808/3</f>
        <v>936</v>
      </c>
    </row>
    <row r="47" spans="1:11" x14ac:dyDescent="0.25">
      <c r="A47" s="12" t="s">
        <v>107</v>
      </c>
      <c r="B47" s="13" t="s">
        <v>144</v>
      </c>
      <c r="C47" s="13" t="s">
        <v>141</v>
      </c>
      <c r="D47" s="13" t="s">
        <v>259</v>
      </c>
      <c r="E47" s="13">
        <f>2457/3</f>
        <v>819</v>
      </c>
    </row>
    <row r="48" spans="1:11" x14ac:dyDescent="0.25">
      <c r="A48" s="12" t="s">
        <v>108</v>
      </c>
      <c r="B48" s="13" t="s">
        <v>144</v>
      </c>
      <c r="C48" s="13" t="s">
        <v>141</v>
      </c>
      <c r="D48" s="13" t="s">
        <v>260</v>
      </c>
      <c r="E48" s="13">
        <f>2316/3</f>
        <v>772</v>
      </c>
    </row>
    <row r="49" spans="1:5" x14ac:dyDescent="0.25">
      <c r="A49" s="12" t="s">
        <v>109</v>
      </c>
      <c r="B49" s="13" t="s">
        <v>144</v>
      </c>
      <c r="C49" s="13" t="s">
        <v>136</v>
      </c>
      <c r="D49" s="13" t="s">
        <v>254</v>
      </c>
      <c r="E49" s="13">
        <f>1884</f>
        <v>1884</v>
      </c>
    </row>
    <row r="50" spans="1:5" x14ac:dyDescent="0.25">
      <c r="A50" s="12" t="s">
        <v>110</v>
      </c>
      <c r="B50" s="13" t="s">
        <v>144</v>
      </c>
      <c r="C50" s="13" t="s">
        <v>136</v>
      </c>
      <c r="D50" s="13" t="s">
        <v>255</v>
      </c>
      <c r="E50" s="13">
        <f>1405</f>
        <v>1405</v>
      </c>
    </row>
    <row r="51" spans="1:5" x14ac:dyDescent="0.25">
      <c r="A51" s="12" t="s">
        <v>111</v>
      </c>
      <c r="B51" s="13" t="s">
        <v>144</v>
      </c>
      <c r="C51" s="13" t="s">
        <v>136</v>
      </c>
      <c r="D51" s="13" t="s">
        <v>256</v>
      </c>
      <c r="E51" s="13">
        <f>1171</f>
        <v>1171</v>
      </c>
    </row>
    <row r="52" spans="1:5" x14ac:dyDescent="0.25">
      <c r="A52" s="12" t="s">
        <v>112</v>
      </c>
      <c r="B52" s="13" t="s">
        <v>144</v>
      </c>
      <c r="C52" s="13" t="s">
        <v>136</v>
      </c>
      <c r="D52" s="13" t="s">
        <v>257</v>
      </c>
      <c r="E52" s="13">
        <f>1054</f>
        <v>1054</v>
      </c>
    </row>
    <row r="53" spans="1:5" x14ac:dyDescent="0.25">
      <c r="A53" s="12" t="s">
        <v>113</v>
      </c>
      <c r="B53" s="13" t="s">
        <v>144</v>
      </c>
      <c r="C53" s="13" t="s">
        <v>136</v>
      </c>
      <c r="D53" s="13" t="s">
        <v>258</v>
      </c>
      <c r="E53" s="13">
        <f>936</f>
        <v>936</v>
      </c>
    </row>
    <row r="54" spans="1:5" x14ac:dyDescent="0.25">
      <c r="A54" s="12" t="s">
        <v>114</v>
      </c>
      <c r="B54" s="13" t="s">
        <v>144</v>
      </c>
      <c r="C54" s="13" t="s">
        <v>136</v>
      </c>
      <c r="D54" s="13" t="s">
        <v>259</v>
      </c>
      <c r="E54" s="13">
        <f>819</f>
        <v>819</v>
      </c>
    </row>
    <row r="55" spans="1:5" x14ac:dyDescent="0.25">
      <c r="A55" s="12" t="s">
        <v>115</v>
      </c>
      <c r="B55" s="13" t="s">
        <v>144</v>
      </c>
      <c r="C55" s="13" t="s">
        <v>136</v>
      </c>
      <c r="D55" s="13" t="s">
        <v>260</v>
      </c>
      <c r="E55" s="13">
        <v>772</v>
      </c>
    </row>
    <row r="56" spans="1:5" x14ac:dyDescent="0.25">
      <c r="A56" s="12" t="s">
        <v>115</v>
      </c>
      <c r="B56" s="13" t="s">
        <v>144</v>
      </c>
      <c r="C56" s="13" t="s">
        <v>136</v>
      </c>
      <c r="D56" s="13" t="s">
        <v>261</v>
      </c>
      <c r="E56" s="13">
        <v>600</v>
      </c>
    </row>
    <row r="57" spans="1:5" x14ac:dyDescent="0.25">
      <c r="A57" s="12" t="s">
        <v>115</v>
      </c>
      <c r="B57" s="13" t="s">
        <v>144</v>
      </c>
      <c r="C57" s="13" t="s">
        <v>136</v>
      </c>
      <c r="D57" s="13" t="s">
        <v>262</v>
      </c>
      <c r="E57" s="13">
        <v>400</v>
      </c>
    </row>
    <row r="58" spans="1:5" ht="15.75" thickBot="1" x14ac:dyDescent="0.3">
      <c r="A58" s="12" t="s">
        <v>115</v>
      </c>
      <c r="B58" s="13" t="s">
        <v>144</v>
      </c>
      <c r="C58" s="13" t="s">
        <v>136</v>
      </c>
      <c r="D58" s="13" t="s">
        <v>263</v>
      </c>
      <c r="E58" s="13">
        <v>200</v>
      </c>
    </row>
    <row r="59" spans="1:5" ht="15.75" thickBot="1" x14ac:dyDescent="0.3">
      <c r="A59" s="11" t="s">
        <v>94</v>
      </c>
      <c r="B59" s="16"/>
      <c r="C59" s="16"/>
      <c r="D59" s="16"/>
      <c r="E59" s="16">
        <f>AVERAGE(E42:E55)</f>
        <v>1148.7142857142858</v>
      </c>
    </row>
  </sheetData>
  <mergeCells count="5">
    <mergeCell ref="A1:E1"/>
    <mergeCell ref="G1:K1"/>
    <mergeCell ref="A19:E19"/>
    <mergeCell ref="G19:K19"/>
    <mergeCell ref="A40:E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workbookViewId="0">
      <selection activeCell="O15" sqref="O15"/>
    </sheetView>
  </sheetViews>
  <sheetFormatPr defaultRowHeight="15" x14ac:dyDescent="0.25"/>
  <cols>
    <col min="1" max="8" width="9.140625" style="9"/>
    <col min="9" max="9" width="10.5703125" style="9" bestFit="1" customWidth="1"/>
    <col min="10" max="16384" width="9.140625" style="9"/>
  </cols>
  <sheetData>
    <row r="1" spans="1:13" ht="15.75" x14ac:dyDescent="0.25">
      <c r="A1" s="72" t="s">
        <v>74</v>
      </c>
      <c r="B1" s="72"/>
      <c r="C1" s="72"/>
      <c r="D1" s="72"/>
      <c r="E1" s="72"/>
      <c r="G1" s="72" t="s">
        <v>75</v>
      </c>
      <c r="H1" s="72"/>
      <c r="I1" s="72"/>
      <c r="J1" s="72"/>
      <c r="K1" s="72"/>
    </row>
    <row r="2" spans="1:13" x14ac:dyDescent="0.25">
      <c r="A2" s="12"/>
      <c r="B2" s="17" t="s">
        <v>76</v>
      </c>
      <c r="C2" s="17" t="s">
        <v>77</v>
      </c>
      <c r="D2" s="17" t="s">
        <v>78</v>
      </c>
      <c r="E2" s="17" t="s">
        <v>79</v>
      </c>
      <c r="F2" s="10"/>
      <c r="G2" s="17"/>
      <c r="H2" s="17" t="s">
        <v>76</v>
      </c>
      <c r="I2" s="17" t="s">
        <v>77</v>
      </c>
      <c r="J2" s="17" t="s">
        <v>78</v>
      </c>
      <c r="K2" s="17" t="s">
        <v>79</v>
      </c>
    </row>
    <row r="3" spans="1:13" x14ac:dyDescent="0.25">
      <c r="A3" s="12" t="s">
        <v>80</v>
      </c>
      <c r="B3" s="13"/>
      <c r="C3" s="13"/>
      <c r="D3" s="13"/>
      <c r="E3" s="13"/>
      <c r="G3" s="12" t="s">
        <v>80</v>
      </c>
      <c r="H3" s="13"/>
      <c r="I3" s="13"/>
      <c r="J3" s="13"/>
      <c r="K3" s="13"/>
    </row>
    <row r="4" spans="1:13" x14ac:dyDescent="0.25">
      <c r="A4" s="12" t="s">
        <v>81</v>
      </c>
      <c r="B4" s="13"/>
      <c r="C4" s="13"/>
      <c r="D4" s="13"/>
      <c r="E4" s="13"/>
      <c r="G4" s="12" t="s">
        <v>81</v>
      </c>
      <c r="H4" s="13"/>
      <c r="I4" s="13"/>
      <c r="J4" s="13"/>
      <c r="K4" s="13"/>
    </row>
    <row r="5" spans="1:13" x14ac:dyDescent="0.25">
      <c r="A5" s="12" t="s">
        <v>82</v>
      </c>
      <c r="B5" s="13"/>
      <c r="C5" s="13"/>
      <c r="D5" s="13"/>
      <c r="E5" s="13"/>
      <c r="G5" s="12" t="s">
        <v>82</v>
      </c>
      <c r="H5" s="13"/>
      <c r="I5" s="13"/>
      <c r="J5" s="13"/>
      <c r="K5" s="13"/>
    </row>
    <row r="6" spans="1:13" x14ac:dyDescent="0.25">
      <c r="A6" s="12" t="s">
        <v>83</v>
      </c>
      <c r="B6" s="13"/>
      <c r="C6" s="13"/>
      <c r="D6" s="13"/>
      <c r="E6" s="13"/>
      <c r="G6" s="12" t="s">
        <v>83</v>
      </c>
      <c r="H6" s="13"/>
      <c r="I6" s="13"/>
      <c r="J6" s="13"/>
      <c r="K6" s="13"/>
    </row>
    <row r="7" spans="1:13" x14ac:dyDescent="0.25">
      <c r="A7" s="12" t="s">
        <v>84</v>
      </c>
      <c r="B7" s="13"/>
      <c r="C7" s="13"/>
      <c r="D7" s="13"/>
      <c r="E7" s="13"/>
      <c r="G7" s="12" t="s">
        <v>84</v>
      </c>
      <c r="H7" s="13"/>
      <c r="I7" s="13"/>
      <c r="J7" s="13"/>
      <c r="K7" s="13"/>
    </row>
    <row r="8" spans="1:13" x14ac:dyDescent="0.25">
      <c r="A8" s="12" t="s">
        <v>85</v>
      </c>
      <c r="B8" s="13"/>
      <c r="C8" s="13"/>
      <c r="D8" s="13"/>
      <c r="E8" s="13"/>
      <c r="G8" s="12" t="s">
        <v>85</v>
      </c>
      <c r="H8" s="13"/>
      <c r="I8" s="13"/>
      <c r="J8" s="13"/>
      <c r="K8" s="13"/>
    </row>
    <row r="9" spans="1:13" x14ac:dyDescent="0.25">
      <c r="A9" s="12" t="s">
        <v>86</v>
      </c>
      <c r="B9" s="13"/>
      <c r="C9" s="13"/>
      <c r="D9" s="13"/>
      <c r="E9" s="13"/>
      <c r="G9" s="12" t="s">
        <v>86</v>
      </c>
      <c r="H9" s="13"/>
      <c r="I9" s="13"/>
      <c r="J9" s="13"/>
      <c r="K9" s="13"/>
      <c r="M9" s="21"/>
    </row>
    <row r="10" spans="1:13" x14ac:dyDescent="0.25">
      <c r="A10" s="12" t="s">
        <v>87</v>
      </c>
      <c r="B10" s="13"/>
      <c r="C10" s="13"/>
      <c r="D10" s="13"/>
      <c r="E10" s="13"/>
      <c r="G10" s="12" t="s">
        <v>87</v>
      </c>
      <c r="H10" s="13"/>
      <c r="I10" s="13"/>
      <c r="J10" s="13"/>
      <c r="K10" s="13"/>
    </row>
    <row r="11" spans="1:13" x14ac:dyDescent="0.25">
      <c r="A11" s="12" t="s">
        <v>88</v>
      </c>
      <c r="B11" s="13"/>
      <c r="C11" s="13"/>
      <c r="D11" s="13"/>
      <c r="E11" s="13"/>
      <c r="G11" s="12" t="s">
        <v>88</v>
      </c>
      <c r="H11" s="13"/>
      <c r="I11" s="13"/>
      <c r="J11" s="13"/>
      <c r="K11" s="13"/>
    </row>
    <row r="12" spans="1:13" x14ac:dyDescent="0.25">
      <c r="A12" s="12" t="s">
        <v>89</v>
      </c>
      <c r="B12" s="13"/>
      <c r="C12" s="13"/>
      <c r="D12" s="13"/>
      <c r="E12" s="13"/>
      <c r="G12" s="12" t="s">
        <v>89</v>
      </c>
      <c r="H12" s="13"/>
      <c r="I12" s="13"/>
      <c r="J12" s="13"/>
      <c r="K12" s="13"/>
    </row>
    <row r="13" spans="1:13" x14ac:dyDescent="0.25">
      <c r="A13" s="12" t="s">
        <v>90</v>
      </c>
      <c r="B13" s="13"/>
      <c r="C13" s="13"/>
      <c r="D13" s="13"/>
      <c r="E13" s="13"/>
      <c r="G13" s="12" t="s">
        <v>90</v>
      </c>
      <c r="H13" s="13"/>
      <c r="I13" s="13"/>
      <c r="J13" s="13"/>
      <c r="K13" s="13"/>
    </row>
    <row r="14" spans="1:13" x14ac:dyDescent="0.25">
      <c r="A14" s="12" t="s">
        <v>91</v>
      </c>
      <c r="B14" s="13"/>
      <c r="C14" s="13"/>
      <c r="D14" s="13"/>
      <c r="E14" s="13"/>
      <c r="G14" s="12" t="s">
        <v>91</v>
      </c>
      <c r="H14" s="13"/>
      <c r="I14" s="13"/>
      <c r="J14" s="13"/>
      <c r="K14" s="13"/>
    </row>
    <row r="15" spans="1:13" x14ac:dyDescent="0.25">
      <c r="A15" s="12" t="s">
        <v>92</v>
      </c>
      <c r="B15" s="13"/>
      <c r="C15" s="13"/>
      <c r="D15" s="13"/>
      <c r="E15" s="13"/>
      <c r="G15" s="12" t="s">
        <v>92</v>
      </c>
      <c r="H15" s="13"/>
      <c r="I15" s="13"/>
      <c r="J15" s="13"/>
      <c r="K15" s="13"/>
    </row>
    <row r="16" spans="1:13" ht="15.75" thickBot="1" x14ac:dyDescent="0.3">
      <c r="A16" s="14" t="s">
        <v>93</v>
      </c>
      <c r="B16" s="15"/>
      <c r="C16" s="15"/>
      <c r="D16" s="15"/>
      <c r="E16" s="15"/>
      <c r="G16" s="14" t="s">
        <v>93</v>
      </c>
      <c r="H16" s="15"/>
      <c r="I16" s="15"/>
      <c r="J16" s="15"/>
      <c r="K16" s="15"/>
    </row>
    <row r="17" spans="1:11" ht="15.75" thickBot="1" x14ac:dyDescent="0.3">
      <c r="A17" s="11" t="s">
        <v>94</v>
      </c>
      <c r="B17" s="16"/>
      <c r="C17" s="16"/>
      <c r="D17" s="16"/>
      <c r="E17" s="16"/>
      <c r="G17" s="11" t="s">
        <v>94</v>
      </c>
      <c r="H17" s="16"/>
      <c r="I17" s="16"/>
      <c r="J17" s="16"/>
      <c r="K17" s="16"/>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80</v>
      </c>
      <c r="H21" s="13"/>
      <c r="I21" s="13">
        <v>2217</v>
      </c>
      <c r="J21" s="13"/>
      <c r="K21" s="13"/>
    </row>
    <row r="22" spans="1:11" x14ac:dyDescent="0.25">
      <c r="A22" s="12" t="s">
        <v>81</v>
      </c>
      <c r="B22" s="13"/>
      <c r="C22" s="13"/>
      <c r="D22" s="13"/>
      <c r="E22" s="13"/>
      <c r="G22" s="12" t="s">
        <v>81</v>
      </c>
      <c r="H22" s="13"/>
      <c r="I22" s="13">
        <v>2559</v>
      </c>
      <c r="J22" s="13"/>
      <c r="K22" s="13"/>
    </row>
    <row r="23" spans="1:11" x14ac:dyDescent="0.25">
      <c r="A23" s="12" t="s">
        <v>82</v>
      </c>
      <c r="B23" s="13"/>
      <c r="C23" s="13"/>
      <c r="D23" s="13"/>
      <c r="E23" s="13"/>
      <c r="G23" s="12" t="s">
        <v>82</v>
      </c>
      <c r="H23" s="13"/>
      <c r="I23" s="13">
        <v>2904</v>
      </c>
      <c r="J23" s="13"/>
      <c r="K23" s="13"/>
    </row>
    <row r="24" spans="1:11" x14ac:dyDescent="0.25">
      <c r="A24" s="12" t="s">
        <v>83</v>
      </c>
      <c r="B24" s="13"/>
      <c r="C24" s="13"/>
      <c r="D24" s="13"/>
      <c r="E24" s="13"/>
      <c r="G24" s="12" t="s">
        <v>83</v>
      </c>
      <c r="H24" s="13"/>
      <c r="I24" s="13"/>
      <c r="J24" s="13"/>
      <c r="K24" s="13"/>
    </row>
    <row r="25" spans="1:11" x14ac:dyDescent="0.25">
      <c r="A25" s="12" t="s">
        <v>84</v>
      </c>
      <c r="B25" s="13"/>
      <c r="C25" s="13"/>
      <c r="D25" s="13"/>
      <c r="E25" s="13"/>
      <c r="G25" s="12" t="s">
        <v>84</v>
      </c>
      <c r="H25" s="13"/>
      <c r="I25" s="13"/>
      <c r="J25" s="13"/>
      <c r="K25" s="13"/>
    </row>
    <row r="26" spans="1:11" x14ac:dyDescent="0.25">
      <c r="A26" s="12" t="s">
        <v>85</v>
      </c>
      <c r="B26" s="13"/>
      <c r="C26" s="13"/>
      <c r="D26" s="13"/>
      <c r="E26" s="13"/>
      <c r="G26" s="12" t="s">
        <v>85</v>
      </c>
      <c r="H26" s="13"/>
      <c r="I26" s="13"/>
      <c r="J26" s="13"/>
      <c r="K26" s="13"/>
    </row>
    <row r="27" spans="1:11" x14ac:dyDescent="0.25">
      <c r="A27" s="12" t="s">
        <v>86</v>
      </c>
      <c r="B27" s="13"/>
      <c r="C27" s="13"/>
      <c r="D27" s="13"/>
      <c r="E27" s="13"/>
      <c r="G27" s="12" t="s">
        <v>86</v>
      </c>
      <c r="H27" s="13"/>
      <c r="I27" s="13"/>
      <c r="J27" s="13"/>
      <c r="K27" s="13"/>
    </row>
    <row r="28" spans="1:11" x14ac:dyDescent="0.25">
      <c r="A28" s="12" t="s">
        <v>87</v>
      </c>
      <c r="B28" s="13"/>
      <c r="C28" s="13"/>
      <c r="D28" s="13"/>
      <c r="E28" s="13"/>
      <c r="G28" s="12" t="s">
        <v>87</v>
      </c>
      <c r="H28" s="13"/>
      <c r="I28" s="13"/>
      <c r="J28" s="13"/>
      <c r="K28" s="13"/>
    </row>
    <row r="29" spans="1:11" x14ac:dyDescent="0.25">
      <c r="A29" s="12" t="s">
        <v>88</v>
      </c>
      <c r="B29" s="13"/>
      <c r="C29" s="13"/>
      <c r="D29" s="13"/>
      <c r="E29" s="13"/>
      <c r="G29" s="12" t="s">
        <v>88</v>
      </c>
      <c r="H29" s="13"/>
      <c r="I29" s="13"/>
      <c r="J29" s="13"/>
      <c r="K29" s="13"/>
    </row>
    <row r="30" spans="1:11" x14ac:dyDescent="0.25">
      <c r="A30" s="12" t="s">
        <v>89</v>
      </c>
      <c r="B30" s="13"/>
      <c r="C30" s="13"/>
      <c r="D30" s="13"/>
      <c r="E30" s="13"/>
      <c r="G30" s="12" t="s">
        <v>89</v>
      </c>
      <c r="H30" s="13"/>
      <c r="I30" s="13"/>
      <c r="J30" s="13"/>
      <c r="K30" s="13"/>
    </row>
    <row r="31" spans="1:11" x14ac:dyDescent="0.25">
      <c r="A31" s="12" t="s">
        <v>90</v>
      </c>
      <c r="B31" s="13"/>
      <c r="C31" s="13"/>
      <c r="D31" s="13"/>
      <c r="E31" s="13"/>
      <c r="G31" s="12" t="s">
        <v>90</v>
      </c>
      <c r="H31" s="13"/>
      <c r="I31" s="13"/>
      <c r="J31" s="13"/>
      <c r="K31" s="13"/>
    </row>
    <row r="32" spans="1:11"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c r="I35" s="16">
        <f>AVERAGE(I21:I34)</f>
        <v>2560</v>
      </c>
      <c r="J35" s="16"/>
      <c r="K35" s="16"/>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c r="C40" s="13"/>
      <c r="D40" s="13"/>
      <c r="E40" s="13"/>
    </row>
    <row r="41" spans="1:11" x14ac:dyDescent="0.25">
      <c r="A41" s="12" t="s">
        <v>103</v>
      </c>
      <c r="B41" s="13"/>
      <c r="C41" s="13"/>
      <c r="D41" s="13"/>
      <c r="E41" s="13"/>
    </row>
    <row r="42" spans="1:11" x14ac:dyDescent="0.25">
      <c r="A42" s="12" t="s">
        <v>104</v>
      </c>
      <c r="B42" s="13"/>
      <c r="C42" s="13"/>
      <c r="D42" s="13"/>
      <c r="E42" s="13"/>
    </row>
    <row r="43" spans="1:11" x14ac:dyDescent="0.25">
      <c r="A43" s="12" t="s">
        <v>105</v>
      </c>
      <c r="B43" s="13"/>
      <c r="C43" s="13"/>
      <c r="D43" s="13"/>
      <c r="E43" s="13"/>
    </row>
    <row r="44" spans="1:11" x14ac:dyDescent="0.25">
      <c r="A44" s="12" t="s">
        <v>106</v>
      </c>
      <c r="B44" s="13"/>
      <c r="C44" s="13"/>
      <c r="D44" s="13"/>
      <c r="E44" s="13"/>
    </row>
    <row r="45" spans="1:11" x14ac:dyDescent="0.25">
      <c r="A45" s="12" t="s">
        <v>107</v>
      </c>
      <c r="B45" s="13"/>
      <c r="C45" s="13"/>
      <c r="D45" s="13"/>
      <c r="E45" s="13"/>
    </row>
    <row r="46" spans="1:11" x14ac:dyDescent="0.25">
      <c r="A46" s="12" t="s">
        <v>108</v>
      </c>
      <c r="B46" s="13"/>
      <c r="C46" s="13"/>
      <c r="D46" s="13"/>
      <c r="E46" s="13"/>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row>
  </sheetData>
  <mergeCells count="5">
    <mergeCell ref="A1:E1"/>
    <mergeCell ref="G1:K1"/>
    <mergeCell ref="A19:E19"/>
    <mergeCell ref="G19:K19"/>
    <mergeCell ref="A38:E3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topLeftCell="A25" workbookViewId="0">
      <selection activeCell="K58" sqref="K58"/>
    </sheetView>
  </sheetViews>
  <sheetFormatPr defaultRowHeight="15" x14ac:dyDescent="0.25"/>
  <cols>
    <col min="1" max="1" width="9.140625" style="9"/>
    <col min="2" max="5" width="10.5703125" style="9" bestFit="1" customWidth="1"/>
    <col min="6" max="7" width="9.140625" style="9"/>
    <col min="8" max="8" width="10.5703125" style="9" bestFit="1" customWidth="1"/>
    <col min="9" max="16384" width="9.140625" style="9"/>
  </cols>
  <sheetData>
    <row r="1" spans="1:13" ht="15.75" x14ac:dyDescent="0.25">
      <c r="A1" s="72" t="s">
        <v>74</v>
      </c>
      <c r="B1" s="72"/>
      <c r="C1" s="72"/>
      <c r="D1" s="72"/>
      <c r="E1" s="72"/>
      <c r="G1" s="72" t="s">
        <v>75</v>
      </c>
      <c r="H1" s="72"/>
      <c r="I1" s="72"/>
      <c r="J1" s="72"/>
      <c r="K1" s="72"/>
    </row>
    <row r="2" spans="1:13" x14ac:dyDescent="0.25">
      <c r="A2" s="12"/>
      <c r="B2" s="17" t="s">
        <v>76</v>
      </c>
      <c r="C2" s="17" t="s">
        <v>77</v>
      </c>
      <c r="D2" s="17" t="s">
        <v>78</v>
      </c>
      <c r="E2" s="17" t="s">
        <v>79</v>
      </c>
      <c r="F2" s="10"/>
      <c r="G2" s="17"/>
      <c r="H2" s="17" t="s">
        <v>76</v>
      </c>
      <c r="I2" s="17" t="s">
        <v>77</v>
      </c>
      <c r="J2" s="17" t="s">
        <v>78</v>
      </c>
      <c r="K2" s="17" t="s">
        <v>79</v>
      </c>
    </row>
    <row r="3" spans="1:13" x14ac:dyDescent="0.25">
      <c r="A3" s="12" t="s">
        <v>80</v>
      </c>
      <c r="B3" s="13">
        <f>8884/3</f>
        <v>2961.3333333333335</v>
      </c>
      <c r="C3" s="13">
        <f>8484/3</f>
        <v>2828</v>
      </c>
      <c r="D3" s="13"/>
      <c r="E3" s="13"/>
      <c r="G3" s="12" t="s">
        <v>80</v>
      </c>
      <c r="H3" s="13"/>
      <c r="I3" s="13"/>
      <c r="J3" s="13"/>
      <c r="K3" s="13"/>
      <c r="M3" s="21"/>
    </row>
    <row r="4" spans="1:13" x14ac:dyDescent="0.25">
      <c r="A4" s="12" t="s">
        <v>81</v>
      </c>
      <c r="B4" s="13">
        <f>6496/3</f>
        <v>2165.3333333333335</v>
      </c>
      <c r="C4" s="13">
        <f>6096/3</f>
        <v>2032</v>
      </c>
      <c r="D4" s="13"/>
      <c r="E4" s="13"/>
      <c r="G4" s="12" t="s">
        <v>81</v>
      </c>
      <c r="H4" s="13"/>
      <c r="I4" s="13"/>
      <c r="J4" s="13"/>
      <c r="K4" s="13"/>
    </row>
    <row r="5" spans="1:13" x14ac:dyDescent="0.25">
      <c r="A5" s="12" t="s">
        <v>82</v>
      </c>
      <c r="B5" s="13">
        <f>7232/3</f>
        <v>2410.6666666666665</v>
      </c>
      <c r="C5" s="13"/>
      <c r="D5" s="13"/>
      <c r="E5" s="13"/>
      <c r="G5" s="12" t="s">
        <v>82</v>
      </c>
      <c r="H5" s="13"/>
      <c r="I5" s="13"/>
      <c r="J5" s="13"/>
      <c r="K5" s="13"/>
    </row>
    <row r="6" spans="1:13" x14ac:dyDescent="0.25">
      <c r="A6" s="12" t="s">
        <v>83</v>
      </c>
      <c r="B6" s="22">
        <f>8884/3</f>
        <v>2961.3333333333335</v>
      </c>
      <c r="C6" s="13">
        <f>8484/3</f>
        <v>2828</v>
      </c>
      <c r="D6" s="13"/>
      <c r="E6" s="13"/>
      <c r="G6" s="12" t="s">
        <v>83</v>
      </c>
      <c r="H6" s="13"/>
      <c r="I6" s="13"/>
      <c r="J6" s="13"/>
      <c r="K6" s="13"/>
    </row>
    <row r="7" spans="1:13" x14ac:dyDescent="0.25">
      <c r="A7" s="12" t="s">
        <v>84</v>
      </c>
      <c r="B7" s="22">
        <f>8884/3</f>
        <v>2961.3333333333335</v>
      </c>
      <c r="C7" s="13">
        <f>8484/3</f>
        <v>2828</v>
      </c>
      <c r="D7" s="13"/>
      <c r="E7" s="13"/>
      <c r="G7" s="12" t="s">
        <v>84</v>
      </c>
      <c r="H7" s="13"/>
      <c r="I7" s="13"/>
      <c r="J7" s="13"/>
      <c r="K7" s="13"/>
    </row>
    <row r="8" spans="1:13" x14ac:dyDescent="0.25">
      <c r="A8" s="12" t="s">
        <v>85</v>
      </c>
      <c r="B8" s="13">
        <f>7060/3</f>
        <v>2353.3333333333335</v>
      </c>
      <c r="C8" s="13">
        <f>6660/3</f>
        <v>2220</v>
      </c>
      <c r="D8" s="13"/>
      <c r="E8" s="13"/>
      <c r="G8" s="12" t="s">
        <v>85</v>
      </c>
      <c r="H8" s="13"/>
      <c r="I8" s="13"/>
      <c r="J8" s="13"/>
      <c r="K8" s="13"/>
    </row>
    <row r="9" spans="1:13" x14ac:dyDescent="0.25">
      <c r="A9" s="12" t="s">
        <v>86</v>
      </c>
      <c r="B9" s="13"/>
      <c r="C9" s="13">
        <f>6096/3</f>
        <v>2032</v>
      </c>
      <c r="D9" s="13"/>
      <c r="E9" s="13"/>
      <c r="G9" s="12" t="s">
        <v>86</v>
      </c>
      <c r="H9" s="13"/>
      <c r="I9" s="13"/>
      <c r="J9" s="13"/>
      <c r="K9" s="13"/>
    </row>
    <row r="10" spans="1:13" x14ac:dyDescent="0.25">
      <c r="A10" s="12" t="s">
        <v>87</v>
      </c>
      <c r="B10" s="13">
        <f>7060/3</f>
        <v>2353.3333333333335</v>
      </c>
      <c r="C10" s="13">
        <f>6660/3</f>
        <v>2220</v>
      </c>
      <c r="D10" s="13"/>
      <c r="E10" s="13"/>
      <c r="G10" s="12" t="s">
        <v>87</v>
      </c>
      <c r="H10" s="13"/>
      <c r="I10" s="13"/>
      <c r="J10" s="13"/>
      <c r="K10" s="13"/>
    </row>
    <row r="11" spans="1:13" x14ac:dyDescent="0.25">
      <c r="A11" s="12" t="s">
        <v>88</v>
      </c>
      <c r="B11" s="13"/>
      <c r="C11" s="13">
        <f>6096/3</f>
        <v>2032</v>
      </c>
      <c r="D11" s="13"/>
      <c r="E11" s="13"/>
      <c r="G11" s="12" t="s">
        <v>88</v>
      </c>
      <c r="H11" s="13"/>
      <c r="I11" s="13"/>
      <c r="J11" s="13"/>
      <c r="K11" s="13"/>
    </row>
    <row r="12" spans="1:13" x14ac:dyDescent="0.25">
      <c r="A12" s="12" t="s">
        <v>89</v>
      </c>
      <c r="B12" s="13">
        <f>7060/3</f>
        <v>2353.3333333333335</v>
      </c>
      <c r="C12" s="13">
        <f>6660/3</f>
        <v>2220</v>
      </c>
      <c r="D12" s="13"/>
      <c r="E12" s="13"/>
      <c r="G12" s="12" t="s">
        <v>89</v>
      </c>
      <c r="H12" s="13"/>
      <c r="I12" s="13"/>
      <c r="J12" s="13"/>
      <c r="K12" s="13"/>
    </row>
    <row r="13" spans="1:13" x14ac:dyDescent="0.25">
      <c r="A13" s="12" t="s">
        <v>90</v>
      </c>
      <c r="B13" s="13">
        <f>6472/3</f>
        <v>2157.3333333333335</v>
      </c>
      <c r="C13" s="13">
        <f>6072/3</f>
        <v>2024</v>
      </c>
      <c r="D13" s="13"/>
      <c r="E13" s="13"/>
      <c r="G13" s="12" t="s">
        <v>90</v>
      </c>
      <c r="H13" s="13"/>
      <c r="I13" s="13"/>
      <c r="J13" s="13"/>
      <c r="K13" s="13"/>
    </row>
    <row r="14" spans="1:13" x14ac:dyDescent="0.25">
      <c r="A14" s="12" t="s">
        <v>91</v>
      </c>
      <c r="B14" s="13">
        <f>6496/3</f>
        <v>2165.3333333333335</v>
      </c>
      <c r="C14" s="13">
        <f>6096/3</f>
        <v>2032</v>
      </c>
      <c r="D14" s="13"/>
      <c r="E14" s="13"/>
      <c r="G14" s="12" t="s">
        <v>91</v>
      </c>
      <c r="H14" s="13"/>
      <c r="I14" s="13"/>
      <c r="J14" s="13"/>
      <c r="K14" s="13"/>
    </row>
    <row r="15" spans="1:13" x14ac:dyDescent="0.25">
      <c r="A15" s="12" t="s">
        <v>92</v>
      </c>
      <c r="B15" s="13">
        <f>7060/3</f>
        <v>2353.3333333333335</v>
      </c>
      <c r="C15" s="13">
        <f>6660/3</f>
        <v>2220</v>
      </c>
      <c r="D15" s="13"/>
      <c r="E15" s="13"/>
      <c r="G15" s="12" t="s">
        <v>92</v>
      </c>
      <c r="H15" s="13"/>
      <c r="I15" s="13"/>
      <c r="J15" s="13"/>
      <c r="K15" s="13"/>
    </row>
    <row r="16" spans="1:13" ht="15.75" thickBot="1" x14ac:dyDescent="0.3">
      <c r="A16" s="14" t="s">
        <v>93</v>
      </c>
      <c r="B16" s="15"/>
      <c r="C16" s="15"/>
      <c r="D16" s="15"/>
      <c r="E16" s="15"/>
      <c r="G16" s="14" t="s">
        <v>93</v>
      </c>
      <c r="H16" s="15"/>
      <c r="I16" s="15"/>
      <c r="J16" s="15"/>
      <c r="K16" s="15"/>
    </row>
    <row r="17" spans="1:11" ht="15.75" thickBot="1" x14ac:dyDescent="0.3">
      <c r="A17" s="11" t="s">
        <v>94</v>
      </c>
      <c r="B17" s="16">
        <f>AVERAGE(B3:B16)</f>
        <v>2472.363636363636</v>
      </c>
      <c r="C17" s="16">
        <f>AVERAGE(C3:C16)</f>
        <v>2293</v>
      </c>
      <c r="D17" s="16"/>
      <c r="E17" s="16"/>
      <c r="G17" s="11" t="s">
        <v>94</v>
      </c>
      <c r="H17" s="16"/>
      <c r="I17" s="16"/>
      <c r="J17" s="16"/>
      <c r="K17" s="16"/>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184</v>
      </c>
      <c r="H21" s="13">
        <f>(505)*3</f>
        <v>1515</v>
      </c>
      <c r="I21" s="13"/>
      <c r="J21" s="13"/>
      <c r="K21" s="13"/>
    </row>
    <row r="22" spans="1:11" x14ac:dyDescent="0.25">
      <c r="A22" s="12" t="s">
        <v>81</v>
      </c>
      <c r="B22" s="13"/>
      <c r="C22" s="13"/>
      <c r="D22" s="13"/>
      <c r="E22" s="13"/>
      <c r="G22" s="12" t="s">
        <v>185</v>
      </c>
      <c r="H22" s="13">
        <f>455*3</f>
        <v>1365</v>
      </c>
      <c r="I22" s="13"/>
      <c r="J22" s="13"/>
      <c r="K22" s="13"/>
    </row>
    <row r="23" spans="1:11" x14ac:dyDescent="0.25">
      <c r="A23" s="12" t="s">
        <v>82</v>
      </c>
      <c r="B23" s="13"/>
      <c r="C23" s="13"/>
      <c r="D23" s="13"/>
      <c r="E23" s="13"/>
      <c r="G23" s="12" t="s">
        <v>186</v>
      </c>
      <c r="H23" s="13">
        <f>314*3</f>
        <v>942</v>
      </c>
      <c r="I23" s="13"/>
      <c r="J23" s="13"/>
      <c r="K23" s="13"/>
    </row>
    <row r="24" spans="1:11" x14ac:dyDescent="0.25">
      <c r="A24" s="12" t="s">
        <v>83</v>
      </c>
      <c r="B24" s="13"/>
      <c r="C24" s="13"/>
      <c r="D24" s="13"/>
      <c r="E24" s="13"/>
      <c r="G24" s="12" t="s">
        <v>187</v>
      </c>
      <c r="H24" s="13">
        <f>480*3</f>
        <v>1440</v>
      </c>
      <c r="I24" s="13"/>
      <c r="J24" s="13"/>
      <c r="K24" s="13"/>
    </row>
    <row r="25" spans="1:11" x14ac:dyDescent="0.25">
      <c r="A25" s="12" t="s">
        <v>84</v>
      </c>
      <c r="B25" s="13"/>
      <c r="C25" s="13"/>
      <c r="D25" s="13"/>
      <c r="E25" s="13"/>
      <c r="G25" s="12" t="s">
        <v>188</v>
      </c>
      <c r="H25" s="13">
        <f>430*3</f>
        <v>1290</v>
      </c>
      <c r="I25" s="13"/>
      <c r="J25" s="13"/>
      <c r="K25" s="13"/>
    </row>
    <row r="26" spans="1:11" x14ac:dyDescent="0.25">
      <c r="A26" s="12" t="s">
        <v>85</v>
      </c>
      <c r="B26" s="13"/>
      <c r="C26" s="13"/>
      <c r="D26" s="13"/>
      <c r="E26" s="13"/>
      <c r="G26" s="12" t="s">
        <v>189</v>
      </c>
      <c r="H26" s="13">
        <f>289*2</f>
        <v>578</v>
      </c>
      <c r="I26" s="13"/>
      <c r="J26" s="13"/>
      <c r="K26" s="13"/>
    </row>
    <row r="27" spans="1:11" x14ac:dyDescent="0.25">
      <c r="A27" s="12" t="s">
        <v>86</v>
      </c>
      <c r="B27" s="13"/>
      <c r="C27" s="13"/>
      <c r="D27" s="13"/>
      <c r="E27" s="13"/>
      <c r="G27" s="12" t="s">
        <v>86</v>
      </c>
      <c r="H27" s="13"/>
      <c r="I27" s="13"/>
      <c r="J27" s="13"/>
      <c r="K27" s="13"/>
    </row>
    <row r="28" spans="1:11" x14ac:dyDescent="0.25">
      <c r="A28" s="12" t="s">
        <v>87</v>
      </c>
      <c r="B28" s="13"/>
      <c r="C28" s="13"/>
      <c r="D28" s="13"/>
      <c r="E28" s="13"/>
      <c r="G28" s="12" t="s">
        <v>87</v>
      </c>
      <c r="H28" s="13"/>
      <c r="I28" s="13"/>
      <c r="J28" s="13"/>
      <c r="K28" s="13"/>
    </row>
    <row r="29" spans="1:11" x14ac:dyDescent="0.25">
      <c r="A29" s="12" t="s">
        <v>88</v>
      </c>
      <c r="B29" s="13"/>
      <c r="C29" s="13"/>
      <c r="D29" s="13"/>
      <c r="E29" s="13"/>
      <c r="G29" s="12" t="s">
        <v>88</v>
      </c>
      <c r="H29" s="13"/>
      <c r="I29" s="13"/>
      <c r="J29" s="13"/>
      <c r="K29" s="13"/>
    </row>
    <row r="30" spans="1:11" x14ac:dyDescent="0.25">
      <c r="A30" s="12" t="s">
        <v>89</v>
      </c>
      <c r="B30" s="13"/>
      <c r="C30" s="13"/>
      <c r="D30" s="13"/>
      <c r="E30" s="13"/>
      <c r="G30" s="12" t="s">
        <v>89</v>
      </c>
      <c r="H30" s="13"/>
      <c r="I30" s="13"/>
      <c r="J30" s="13"/>
      <c r="K30" s="13"/>
    </row>
    <row r="31" spans="1:11" x14ac:dyDescent="0.25">
      <c r="A31" s="12" t="s">
        <v>90</v>
      </c>
      <c r="B31" s="13"/>
      <c r="C31" s="13"/>
      <c r="D31" s="13"/>
      <c r="E31" s="13"/>
      <c r="G31" s="12" t="s">
        <v>90</v>
      </c>
      <c r="H31" s="13"/>
      <c r="I31" s="13"/>
      <c r="J31" s="13"/>
      <c r="K31" s="13"/>
    </row>
    <row r="32" spans="1:11"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f>AVERAGE(H21:H26)</f>
        <v>1188.3333333333333</v>
      </c>
      <c r="I35" s="16"/>
      <c r="J35" s="16"/>
      <c r="K35" s="16"/>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t="s">
        <v>190</v>
      </c>
      <c r="C40" s="13" t="s">
        <v>141</v>
      </c>
      <c r="D40" s="23">
        <f>840 + (840 *0.4)</f>
        <v>1176</v>
      </c>
      <c r="E40" s="13">
        <v>1784</v>
      </c>
    </row>
    <row r="41" spans="1:11" x14ac:dyDescent="0.25">
      <c r="A41" s="12" t="s">
        <v>103</v>
      </c>
      <c r="B41" s="13" t="s">
        <v>190</v>
      </c>
      <c r="C41" s="13" t="s">
        <v>141</v>
      </c>
      <c r="D41" s="23">
        <f>1095 + (1095 * 0.4)</f>
        <v>1533</v>
      </c>
      <c r="E41" s="13">
        <v>2039</v>
      </c>
    </row>
    <row r="42" spans="1:11" x14ac:dyDescent="0.25">
      <c r="A42" s="12" t="s">
        <v>104</v>
      </c>
      <c r="B42" s="13" t="s">
        <v>190</v>
      </c>
      <c r="C42" s="13" t="s">
        <v>141</v>
      </c>
      <c r="D42" s="23">
        <f>1305 + (1305 * 0.4)</f>
        <v>1827</v>
      </c>
      <c r="E42" s="13">
        <v>2249</v>
      </c>
    </row>
    <row r="43" spans="1:11" x14ac:dyDescent="0.25">
      <c r="A43" s="12" t="s">
        <v>105</v>
      </c>
      <c r="B43" s="13"/>
      <c r="C43" s="13"/>
      <c r="D43" s="13"/>
      <c r="E43" s="13"/>
    </row>
    <row r="44" spans="1:11" x14ac:dyDescent="0.25">
      <c r="A44" s="12" t="s">
        <v>106</v>
      </c>
      <c r="B44" s="13"/>
      <c r="C44" s="13"/>
      <c r="D44" s="13"/>
      <c r="E44" s="13"/>
    </row>
    <row r="45" spans="1:11" x14ac:dyDescent="0.25">
      <c r="A45" s="12" t="s">
        <v>107</v>
      </c>
      <c r="B45" s="13"/>
      <c r="C45" s="13"/>
      <c r="D45" s="13"/>
      <c r="E45" s="13"/>
    </row>
    <row r="46" spans="1:11" x14ac:dyDescent="0.25">
      <c r="A46" s="12" t="s">
        <v>108</v>
      </c>
      <c r="B46" s="13"/>
      <c r="C46" s="13"/>
      <c r="D46" s="13"/>
      <c r="E46" s="13"/>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AVERAGE(E40:E53)</f>
        <v>2024</v>
      </c>
    </row>
  </sheetData>
  <mergeCells count="5">
    <mergeCell ref="A1:E1"/>
    <mergeCell ref="G1:K1"/>
    <mergeCell ref="A19:E19"/>
    <mergeCell ref="G19:K19"/>
    <mergeCell ref="A38:E38"/>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opLeftCell="A22" workbookViewId="0">
      <selection activeCell="Q20" sqref="Q20"/>
    </sheetView>
  </sheetViews>
  <sheetFormatPr defaultRowHeight="15" x14ac:dyDescent="0.25"/>
  <cols>
    <col min="1" max="1" width="9.140625" style="9"/>
    <col min="2" max="3" width="10.5703125" style="9" bestFit="1" customWidth="1"/>
    <col min="4" max="4" width="12.7109375" style="9" bestFit="1" customWidth="1"/>
    <col min="5" max="5" width="10.5703125" style="9" bestFit="1" customWidth="1"/>
    <col min="6" max="7" width="9.140625" style="9"/>
    <col min="8" max="9" width="10.5703125" style="9" bestFit="1" customWidth="1"/>
    <col min="10" max="16384" width="9.140625" style="9"/>
  </cols>
  <sheetData>
    <row r="1" spans="1:11" ht="15.75" x14ac:dyDescent="0.25">
      <c r="A1" s="72" t="s">
        <v>74</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f>(2878+2499+2196)/3</f>
        <v>2524.3333333333335</v>
      </c>
      <c r="C3" s="13">
        <f>(2475+2149+1888)/3</f>
        <v>2170.6666666666665</v>
      </c>
      <c r="D3" s="13">
        <f>(1984+1723+1513)/3</f>
        <v>1740</v>
      </c>
      <c r="E3" s="13"/>
      <c r="G3" s="12" t="s">
        <v>80</v>
      </c>
      <c r="H3" s="13">
        <f>(3111+2701+2373)/3</f>
        <v>2728.3333333333335</v>
      </c>
      <c r="I3" s="13"/>
      <c r="J3" s="13"/>
      <c r="K3" s="13"/>
    </row>
    <row r="4" spans="1:11" x14ac:dyDescent="0.25">
      <c r="A4" s="12" t="s">
        <v>81</v>
      </c>
      <c r="B4" s="13"/>
      <c r="C4" s="13"/>
      <c r="D4" s="13"/>
      <c r="E4" s="13"/>
      <c r="G4" s="12" t="s">
        <v>81</v>
      </c>
      <c r="H4" s="13"/>
      <c r="I4" s="13"/>
      <c r="J4" s="13"/>
      <c r="K4" s="13"/>
    </row>
    <row r="5" spans="1:11" x14ac:dyDescent="0.25">
      <c r="A5" s="12" t="s">
        <v>82</v>
      </c>
      <c r="B5" s="13"/>
      <c r="C5" s="13"/>
      <c r="D5" s="13"/>
      <c r="E5" s="13"/>
      <c r="G5" s="12" t="s">
        <v>82</v>
      </c>
      <c r="H5" s="13"/>
      <c r="I5" s="13"/>
      <c r="J5" s="13"/>
      <c r="K5" s="13"/>
    </row>
    <row r="6" spans="1:11" x14ac:dyDescent="0.25">
      <c r="A6" s="12" t="s">
        <v>83</v>
      </c>
      <c r="B6" s="13"/>
      <c r="C6" s="13"/>
      <c r="D6" s="13"/>
      <c r="E6" s="13"/>
      <c r="G6" s="12" t="s">
        <v>83</v>
      </c>
      <c r="H6" s="13"/>
      <c r="I6" s="13"/>
      <c r="J6" s="13"/>
      <c r="K6" s="13"/>
    </row>
    <row r="7" spans="1:11" x14ac:dyDescent="0.25">
      <c r="A7" s="12" t="s">
        <v>84</v>
      </c>
      <c r="B7" s="13"/>
      <c r="C7" s="13"/>
      <c r="D7" s="13"/>
      <c r="E7" s="13"/>
      <c r="G7" s="12" t="s">
        <v>84</v>
      </c>
      <c r="H7" s="13"/>
      <c r="I7" s="13"/>
      <c r="J7" s="13"/>
      <c r="K7" s="13"/>
    </row>
    <row r="8" spans="1:11" x14ac:dyDescent="0.25">
      <c r="A8" s="12" t="s">
        <v>85</v>
      </c>
      <c r="B8" s="13"/>
      <c r="C8" s="13"/>
      <c r="D8" s="13"/>
      <c r="E8" s="13"/>
      <c r="G8" s="12" t="s">
        <v>85</v>
      </c>
      <c r="H8" s="13"/>
      <c r="I8" s="13"/>
      <c r="J8" s="13"/>
      <c r="K8" s="13"/>
    </row>
    <row r="9" spans="1:11" x14ac:dyDescent="0.25">
      <c r="A9" s="12" t="s">
        <v>86</v>
      </c>
      <c r="B9" s="13"/>
      <c r="C9" s="13"/>
      <c r="D9" s="13"/>
      <c r="E9" s="13"/>
      <c r="G9" s="12" t="s">
        <v>86</v>
      </c>
      <c r="H9" s="13"/>
      <c r="I9" s="13"/>
      <c r="J9" s="13"/>
      <c r="K9" s="13"/>
    </row>
    <row r="10" spans="1:11" x14ac:dyDescent="0.25">
      <c r="A10" s="12" t="s">
        <v>87</v>
      </c>
      <c r="B10" s="13"/>
      <c r="C10" s="13"/>
      <c r="D10" s="13"/>
      <c r="E10" s="13"/>
      <c r="G10" s="12" t="s">
        <v>87</v>
      </c>
      <c r="H10" s="13"/>
      <c r="I10" s="13"/>
      <c r="J10" s="13"/>
      <c r="K10" s="13"/>
    </row>
    <row r="11" spans="1:11" x14ac:dyDescent="0.25">
      <c r="A11" s="12" t="s">
        <v>88</v>
      </c>
      <c r="B11" s="13"/>
      <c r="C11" s="13"/>
      <c r="D11" s="13"/>
      <c r="E11" s="13"/>
      <c r="G11" s="12" t="s">
        <v>88</v>
      </c>
      <c r="H11" s="13"/>
      <c r="I11" s="13"/>
      <c r="J11" s="13"/>
      <c r="K11" s="13"/>
    </row>
    <row r="12" spans="1:11" x14ac:dyDescent="0.25">
      <c r="A12" s="12" t="s">
        <v>89</v>
      </c>
      <c r="B12" s="13"/>
      <c r="C12" s="13"/>
      <c r="D12" s="13"/>
      <c r="E12" s="13"/>
      <c r="G12" s="12" t="s">
        <v>89</v>
      </c>
      <c r="H12" s="13"/>
      <c r="I12" s="13"/>
      <c r="J12" s="13"/>
      <c r="K12" s="13"/>
    </row>
    <row r="13" spans="1:11" x14ac:dyDescent="0.25">
      <c r="A13" s="12" t="s">
        <v>90</v>
      </c>
      <c r="B13" s="13"/>
      <c r="C13" s="13"/>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2" ht="15.75" thickBot="1" x14ac:dyDescent="0.3">
      <c r="A17" s="11" t="s">
        <v>94</v>
      </c>
      <c r="B17" s="16">
        <f>AVERAGE(B3:B16)</f>
        <v>2524.3333333333335</v>
      </c>
      <c r="C17" s="16">
        <f t="shared" ref="C17:D17" si="0">AVERAGE(C3:C16)</f>
        <v>2170.6666666666665</v>
      </c>
      <c r="D17" s="16">
        <f t="shared" si="0"/>
        <v>1740</v>
      </c>
      <c r="E17" s="16"/>
      <c r="G17" s="11" t="s">
        <v>94</v>
      </c>
      <c r="H17" s="16">
        <f>AVERAGE(H3:H16)</f>
        <v>2728.3333333333335</v>
      </c>
      <c r="I17" s="16"/>
      <c r="J17" s="16"/>
      <c r="K17" s="16"/>
    </row>
    <row r="18" spans="1:12" ht="15.75" thickTop="1" x14ac:dyDescent="0.25"/>
    <row r="19" spans="1:12" ht="15.75" x14ac:dyDescent="0.25">
      <c r="A19" s="72" t="s">
        <v>95</v>
      </c>
      <c r="B19" s="72"/>
      <c r="C19" s="72"/>
      <c r="D19" s="72"/>
      <c r="E19" s="72"/>
      <c r="G19" s="72" t="s">
        <v>96</v>
      </c>
      <c r="H19" s="72"/>
      <c r="I19" s="72"/>
      <c r="J19" s="72"/>
      <c r="K19" s="72"/>
    </row>
    <row r="20" spans="1:12" x14ac:dyDescent="0.25">
      <c r="A20" s="12"/>
      <c r="B20" s="17" t="s">
        <v>76</v>
      </c>
      <c r="C20" s="17" t="s">
        <v>77</v>
      </c>
      <c r="D20" s="17" t="s">
        <v>78</v>
      </c>
      <c r="E20" s="17" t="s">
        <v>79</v>
      </c>
      <c r="F20" s="18"/>
      <c r="G20" s="17"/>
      <c r="H20" s="17" t="s">
        <v>76</v>
      </c>
      <c r="I20" s="17" t="s">
        <v>77</v>
      </c>
      <c r="J20" s="17" t="s">
        <v>78</v>
      </c>
      <c r="K20" s="17" t="s">
        <v>79</v>
      </c>
    </row>
    <row r="21" spans="1:12" x14ac:dyDescent="0.25">
      <c r="A21" s="12" t="s">
        <v>80</v>
      </c>
      <c r="B21" s="13"/>
      <c r="C21" s="13"/>
      <c r="D21" s="13"/>
      <c r="E21" s="13"/>
      <c r="G21" s="12" t="s">
        <v>80</v>
      </c>
      <c r="H21" s="13"/>
      <c r="I21" s="13">
        <v>1094</v>
      </c>
      <c r="J21" s="13"/>
      <c r="K21" s="13"/>
    </row>
    <row r="22" spans="1:12" x14ac:dyDescent="0.25">
      <c r="A22" s="12" t="s">
        <v>81</v>
      </c>
      <c r="B22" s="13"/>
      <c r="C22" s="13"/>
      <c r="D22" s="13"/>
      <c r="E22" s="13"/>
      <c r="G22" s="12" t="s">
        <v>81</v>
      </c>
      <c r="H22" s="13">
        <v>2184</v>
      </c>
      <c r="I22" s="13"/>
      <c r="J22" s="13"/>
      <c r="K22" s="13"/>
    </row>
    <row r="23" spans="1:12" x14ac:dyDescent="0.25">
      <c r="A23" s="12" t="s">
        <v>82</v>
      </c>
      <c r="B23" s="13"/>
      <c r="C23" s="13"/>
      <c r="D23" s="13"/>
      <c r="E23" s="13"/>
      <c r="G23" s="12" t="s">
        <v>82</v>
      </c>
      <c r="H23" s="13">
        <v>4373</v>
      </c>
      <c r="I23" s="13"/>
      <c r="J23" s="13"/>
      <c r="K23" s="13"/>
      <c r="L23" s="9" t="s">
        <v>219</v>
      </c>
    </row>
    <row r="24" spans="1:12" x14ac:dyDescent="0.25">
      <c r="A24" s="12" t="s">
        <v>83</v>
      </c>
      <c r="B24" s="13"/>
      <c r="C24" s="13"/>
      <c r="D24" s="13"/>
      <c r="E24" s="13"/>
      <c r="G24" s="12" t="s">
        <v>83</v>
      </c>
      <c r="H24" s="13"/>
      <c r="I24" s="13"/>
      <c r="J24" s="13"/>
      <c r="K24" s="13"/>
    </row>
    <row r="25" spans="1:12" x14ac:dyDescent="0.25">
      <c r="A25" s="12" t="s">
        <v>84</v>
      </c>
      <c r="B25" s="13"/>
      <c r="C25" s="13"/>
      <c r="D25" s="13"/>
      <c r="E25" s="13"/>
      <c r="G25" s="12" t="s">
        <v>84</v>
      </c>
      <c r="H25" s="13"/>
      <c r="I25" s="13"/>
      <c r="J25" s="13"/>
      <c r="K25" s="13"/>
    </row>
    <row r="26" spans="1:12" x14ac:dyDescent="0.25">
      <c r="A26" s="12" t="s">
        <v>85</v>
      </c>
      <c r="B26" s="13"/>
      <c r="C26" s="13"/>
      <c r="D26" s="13"/>
      <c r="E26" s="13"/>
      <c r="G26" s="12" t="s">
        <v>85</v>
      </c>
      <c r="H26" s="13"/>
      <c r="I26" s="13"/>
      <c r="J26" s="13"/>
      <c r="K26" s="13"/>
    </row>
    <row r="27" spans="1:12" x14ac:dyDescent="0.25">
      <c r="A27" s="12" t="s">
        <v>86</v>
      </c>
      <c r="B27" s="13"/>
      <c r="C27" s="13"/>
      <c r="D27" s="13"/>
      <c r="E27" s="13"/>
      <c r="G27" s="12" t="s">
        <v>86</v>
      </c>
      <c r="H27" s="13"/>
      <c r="I27" s="13"/>
      <c r="J27" s="13"/>
      <c r="K27" s="13"/>
    </row>
    <row r="28" spans="1:12" x14ac:dyDescent="0.25">
      <c r="A28" s="12" t="s">
        <v>87</v>
      </c>
      <c r="B28" s="13"/>
      <c r="C28" s="13"/>
      <c r="D28" s="13"/>
      <c r="E28" s="13"/>
      <c r="G28" s="12" t="s">
        <v>87</v>
      </c>
      <c r="H28" s="13"/>
      <c r="I28" s="13"/>
      <c r="J28" s="13"/>
      <c r="K28" s="13"/>
    </row>
    <row r="29" spans="1:12" x14ac:dyDescent="0.25">
      <c r="A29" s="12" t="s">
        <v>88</v>
      </c>
      <c r="B29" s="13"/>
      <c r="C29" s="13"/>
      <c r="D29" s="13"/>
      <c r="E29" s="13"/>
      <c r="G29" s="12" t="s">
        <v>88</v>
      </c>
      <c r="H29" s="13"/>
      <c r="I29" s="13"/>
      <c r="J29" s="13"/>
      <c r="K29" s="13"/>
    </row>
    <row r="30" spans="1:12" x14ac:dyDescent="0.25">
      <c r="A30" s="12" t="s">
        <v>89</v>
      </c>
      <c r="B30" s="13"/>
      <c r="C30" s="13"/>
      <c r="D30" s="13"/>
      <c r="E30" s="13"/>
      <c r="G30" s="12" t="s">
        <v>89</v>
      </c>
      <c r="H30" s="13"/>
      <c r="I30" s="13"/>
      <c r="J30" s="13"/>
      <c r="K30" s="13"/>
    </row>
    <row r="31" spans="1:12" x14ac:dyDescent="0.25">
      <c r="A31" s="12" t="s">
        <v>90</v>
      </c>
      <c r="B31" s="13"/>
      <c r="C31" s="13"/>
      <c r="D31" s="13"/>
      <c r="E31" s="13"/>
      <c r="G31" s="12" t="s">
        <v>90</v>
      </c>
      <c r="H31" s="13"/>
      <c r="I31" s="13"/>
      <c r="J31" s="13"/>
      <c r="K31" s="13"/>
    </row>
    <row r="32" spans="1:12"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f>AVERAGE(H21:H34)</f>
        <v>3278.5</v>
      </c>
      <c r="I35" s="16">
        <f>AVERAGE(I21:I34)</f>
        <v>1094</v>
      </c>
      <c r="J35" s="16"/>
      <c r="K35" s="16"/>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t="s">
        <v>214</v>
      </c>
      <c r="C40" s="13" t="s">
        <v>141</v>
      </c>
      <c r="D40" s="13" t="s">
        <v>214</v>
      </c>
      <c r="E40" s="13">
        <f>(1455+1264+1111)/3</f>
        <v>1276.6666666666667</v>
      </c>
    </row>
    <row r="41" spans="1:11" x14ac:dyDescent="0.25">
      <c r="A41" s="12" t="s">
        <v>103</v>
      </c>
      <c r="B41" s="13" t="s">
        <v>216</v>
      </c>
      <c r="C41" s="13" t="s">
        <v>141</v>
      </c>
      <c r="D41" s="13" t="s">
        <v>215</v>
      </c>
      <c r="E41" s="13">
        <f>(1307+1135+998)/3</f>
        <v>1146.6666666666667</v>
      </c>
    </row>
    <row r="42" spans="1:11" x14ac:dyDescent="0.25">
      <c r="A42" s="12" t="s">
        <v>104</v>
      </c>
      <c r="B42" s="13" t="s">
        <v>216</v>
      </c>
      <c r="C42" s="13" t="s">
        <v>141</v>
      </c>
      <c r="D42" s="13" t="s">
        <v>217</v>
      </c>
      <c r="E42" s="13">
        <f>(1162+1009+887)/3</f>
        <v>1019.3333333333334</v>
      </c>
    </row>
    <row r="43" spans="1:11" x14ac:dyDescent="0.25">
      <c r="A43" s="12" t="s">
        <v>105</v>
      </c>
      <c r="B43" s="13" t="s">
        <v>216</v>
      </c>
      <c r="C43" s="13" t="s">
        <v>141</v>
      </c>
      <c r="D43" s="13" t="s">
        <v>218</v>
      </c>
      <c r="E43" s="13">
        <f>(1012+879+773)/3</f>
        <v>888</v>
      </c>
    </row>
    <row r="44" spans="1:11" x14ac:dyDescent="0.25">
      <c r="A44" s="12" t="s">
        <v>106</v>
      </c>
      <c r="B44" s="13"/>
      <c r="C44" s="13"/>
      <c r="D44" s="13"/>
      <c r="E44" s="13"/>
    </row>
    <row r="45" spans="1:11" x14ac:dyDescent="0.25">
      <c r="A45" s="12" t="s">
        <v>107</v>
      </c>
      <c r="B45" s="13"/>
      <c r="C45" s="13"/>
      <c r="D45" s="13"/>
      <c r="E45" s="13"/>
    </row>
    <row r="46" spans="1:11" x14ac:dyDescent="0.25">
      <c r="A46" s="12" t="s">
        <v>108</v>
      </c>
      <c r="B46" s="13"/>
      <c r="C46" s="13"/>
      <c r="D46" s="13"/>
      <c r="E46" s="13"/>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AVERAGE(E40:E53)</f>
        <v>1082.6666666666667</v>
      </c>
    </row>
  </sheetData>
  <mergeCells count="5">
    <mergeCell ref="A1:E1"/>
    <mergeCell ref="G1:K1"/>
    <mergeCell ref="A19:E19"/>
    <mergeCell ref="G19:K19"/>
    <mergeCell ref="A38:E3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N20" sqref="N20"/>
    </sheetView>
  </sheetViews>
  <sheetFormatPr defaultRowHeight="15" x14ac:dyDescent="0.25"/>
  <cols>
    <col min="1" max="1" width="9.140625" style="9"/>
    <col min="2" max="3" width="10.5703125" style="9" bestFit="1" customWidth="1"/>
    <col min="4" max="4" width="14.28515625" style="9" bestFit="1" customWidth="1"/>
    <col min="5" max="5" width="10.5703125" style="9" bestFit="1" customWidth="1"/>
    <col min="6" max="7" width="9.140625" style="9"/>
    <col min="8" max="9" width="10.5703125" style="9" bestFit="1" customWidth="1"/>
    <col min="10" max="16384" width="9.140625" style="9"/>
  </cols>
  <sheetData>
    <row r="1" spans="1:11" ht="15.75" x14ac:dyDescent="0.25">
      <c r="A1" s="72" t="s">
        <v>74</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f>(3310*2)/3</f>
        <v>2206.6666666666665</v>
      </c>
      <c r="C3" s="13">
        <f>(2740*2)/3</f>
        <v>1826.6666666666667</v>
      </c>
      <c r="D3" s="13"/>
      <c r="E3" s="13"/>
      <c r="G3" s="12" t="s">
        <v>80</v>
      </c>
      <c r="H3" s="13">
        <f>(3300*2)/3</f>
        <v>2200</v>
      </c>
      <c r="I3" s="13">
        <f>(2385*2)/3</f>
        <v>1590</v>
      </c>
      <c r="J3" s="13"/>
      <c r="K3" s="13"/>
    </row>
    <row r="4" spans="1:11" x14ac:dyDescent="0.25">
      <c r="A4" s="12" t="s">
        <v>81</v>
      </c>
      <c r="B4" s="13">
        <f>(3095*2)/3</f>
        <v>2063.3333333333335</v>
      </c>
      <c r="C4" s="13">
        <f>(2585*2)/3</f>
        <v>1723.3333333333333</v>
      </c>
      <c r="D4" s="13"/>
      <c r="E4" s="13"/>
      <c r="G4" s="12" t="s">
        <v>81</v>
      </c>
      <c r="H4" s="13"/>
      <c r="I4" s="13">
        <f>(2855*2)/3</f>
        <v>1903.3333333333333</v>
      </c>
      <c r="J4" s="13"/>
      <c r="K4" s="13"/>
    </row>
    <row r="5" spans="1:11" x14ac:dyDescent="0.25">
      <c r="A5" s="12" t="s">
        <v>82</v>
      </c>
      <c r="B5" s="13">
        <f>(2855*2)/3</f>
        <v>1903.3333333333333</v>
      </c>
      <c r="C5" s="13">
        <f>(2825*2)/3</f>
        <v>1883.3333333333333</v>
      </c>
      <c r="D5" s="13"/>
      <c r="E5" s="13"/>
      <c r="G5" s="12" t="s">
        <v>82</v>
      </c>
      <c r="H5" s="13"/>
      <c r="I5" s="13">
        <f>(3085*2) / 3</f>
        <v>2056.6666666666665</v>
      </c>
      <c r="J5" s="13"/>
      <c r="K5" s="13"/>
    </row>
    <row r="6" spans="1:11" x14ac:dyDescent="0.25">
      <c r="A6" s="12" t="s">
        <v>83</v>
      </c>
      <c r="B6" s="13">
        <f>(3075*2)/3</f>
        <v>2050</v>
      </c>
      <c r="C6" s="13">
        <f>(2825*2)/3</f>
        <v>1883.3333333333333</v>
      </c>
      <c r="D6" s="13"/>
      <c r="E6" s="13"/>
      <c r="G6" s="12" t="s">
        <v>83</v>
      </c>
      <c r="H6" s="13"/>
      <c r="I6" s="13"/>
      <c r="J6" s="13"/>
      <c r="K6" s="13"/>
    </row>
    <row r="7" spans="1:11" x14ac:dyDescent="0.25">
      <c r="A7" s="12" t="s">
        <v>84</v>
      </c>
      <c r="B7" s="13"/>
      <c r="C7" s="13">
        <f>(2505*2)/3</f>
        <v>1670</v>
      </c>
      <c r="D7" s="13"/>
      <c r="E7" s="13"/>
      <c r="G7" s="12" t="s">
        <v>84</v>
      </c>
      <c r="H7" s="13"/>
      <c r="I7" s="13"/>
      <c r="J7" s="13"/>
      <c r="K7" s="13"/>
    </row>
    <row r="8" spans="1:11" x14ac:dyDescent="0.25">
      <c r="A8" s="12" t="s">
        <v>85</v>
      </c>
      <c r="B8" s="13"/>
      <c r="C8" s="13">
        <f>(2415*2)/3</f>
        <v>1610</v>
      </c>
      <c r="D8" s="13"/>
      <c r="E8" s="13"/>
      <c r="G8" s="12" t="s">
        <v>85</v>
      </c>
      <c r="H8" s="13"/>
      <c r="I8" s="13"/>
      <c r="J8" s="13"/>
      <c r="K8" s="13"/>
    </row>
    <row r="9" spans="1:11" x14ac:dyDescent="0.25">
      <c r="A9" s="12" t="s">
        <v>86</v>
      </c>
      <c r="B9" s="13"/>
      <c r="C9" s="13"/>
      <c r="D9" s="13"/>
      <c r="E9" s="13"/>
      <c r="G9" s="12" t="s">
        <v>86</v>
      </c>
      <c r="H9" s="13"/>
      <c r="I9" s="13"/>
      <c r="J9" s="13"/>
      <c r="K9" s="13"/>
    </row>
    <row r="10" spans="1:11" x14ac:dyDescent="0.25">
      <c r="A10" s="12" t="s">
        <v>87</v>
      </c>
      <c r="B10" s="13"/>
      <c r="C10" s="13"/>
      <c r="D10" s="13"/>
      <c r="E10" s="13"/>
      <c r="G10" s="12" t="s">
        <v>87</v>
      </c>
      <c r="H10" s="13"/>
      <c r="I10" s="13"/>
      <c r="J10" s="13"/>
      <c r="K10" s="13"/>
    </row>
    <row r="11" spans="1:11" x14ac:dyDescent="0.25">
      <c r="A11" s="12" t="s">
        <v>88</v>
      </c>
      <c r="B11" s="13"/>
      <c r="C11" s="13"/>
      <c r="D11" s="13"/>
      <c r="E11" s="13"/>
      <c r="G11" s="12" t="s">
        <v>88</v>
      </c>
      <c r="H11" s="13"/>
      <c r="I11" s="13"/>
      <c r="J11" s="13"/>
      <c r="K11" s="13"/>
    </row>
    <row r="12" spans="1:11" x14ac:dyDescent="0.25">
      <c r="A12" s="12" t="s">
        <v>89</v>
      </c>
      <c r="B12" s="13"/>
      <c r="C12" s="13"/>
      <c r="D12" s="13"/>
      <c r="E12" s="13"/>
      <c r="G12" s="12" t="s">
        <v>89</v>
      </c>
      <c r="H12" s="13"/>
      <c r="I12" s="13"/>
      <c r="J12" s="13"/>
      <c r="K12" s="13"/>
    </row>
    <row r="13" spans="1:11" x14ac:dyDescent="0.25">
      <c r="A13" s="12" t="s">
        <v>90</v>
      </c>
      <c r="B13" s="13"/>
      <c r="C13" s="13"/>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1" ht="15.75" thickBot="1" x14ac:dyDescent="0.3">
      <c r="A17" s="11" t="s">
        <v>94</v>
      </c>
      <c r="B17" s="16">
        <f>AVERAGE(B3:B16)</f>
        <v>2055.833333333333</v>
      </c>
      <c r="C17" s="16">
        <f>AVERAGE(C3:C16)</f>
        <v>1766.1111111111111</v>
      </c>
      <c r="D17" s="16"/>
      <c r="E17" s="16"/>
      <c r="G17" s="11" t="s">
        <v>94</v>
      </c>
      <c r="H17" s="16">
        <f>AVERAGE(H3:H16)</f>
        <v>2200</v>
      </c>
      <c r="I17" s="16"/>
      <c r="J17" s="16"/>
      <c r="K17" s="16"/>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80</v>
      </c>
      <c r="H21" s="13">
        <f>(3085*2)/3</f>
        <v>2056.6666666666665</v>
      </c>
      <c r="I21" s="13"/>
      <c r="J21" s="13"/>
      <c r="K21" s="13"/>
    </row>
    <row r="22" spans="1:11" x14ac:dyDescent="0.25">
      <c r="A22" s="12" t="s">
        <v>81</v>
      </c>
      <c r="B22" s="13"/>
      <c r="C22" s="13"/>
      <c r="D22" s="13"/>
      <c r="E22" s="13"/>
      <c r="G22" s="12" t="s">
        <v>81</v>
      </c>
      <c r="H22" s="13">
        <f>(3470*2)/3</f>
        <v>2313.3333333333335</v>
      </c>
      <c r="I22" s="13"/>
      <c r="J22" s="13"/>
      <c r="K22" s="13"/>
    </row>
    <row r="23" spans="1:11" x14ac:dyDescent="0.25">
      <c r="A23" s="12" t="s">
        <v>82</v>
      </c>
      <c r="B23" s="13"/>
      <c r="C23" s="13"/>
      <c r="D23" s="13"/>
      <c r="E23" s="13"/>
      <c r="G23" s="12" t="s">
        <v>82</v>
      </c>
      <c r="I23" s="13"/>
      <c r="J23" s="13"/>
      <c r="K23" s="13"/>
    </row>
    <row r="24" spans="1:11" x14ac:dyDescent="0.25">
      <c r="A24" s="12" t="s">
        <v>83</v>
      </c>
      <c r="B24" s="13"/>
      <c r="C24" s="13"/>
      <c r="D24" s="13"/>
      <c r="E24" s="13"/>
      <c r="G24" s="12" t="s">
        <v>83</v>
      </c>
      <c r="H24" s="13"/>
      <c r="I24" s="13"/>
      <c r="J24" s="13"/>
      <c r="K24" s="13"/>
    </row>
    <row r="25" spans="1:11" x14ac:dyDescent="0.25">
      <c r="A25" s="12" t="s">
        <v>84</v>
      </c>
      <c r="B25" s="13"/>
      <c r="C25" s="13"/>
      <c r="D25" s="13"/>
      <c r="E25" s="13"/>
      <c r="G25" s="12" t="s">
        <v>84</v>
      </c>
      <c r="H25" s="13"/>
      <c r="I25" s="13"/>
      <c r="J25" s="13"/>
      <c r="K25" s="13"/>
    </row>
    <row r="26" spans="1:11" x14ac:dyDescent="0.25">
      <c r="A26" s="12" t="s">
        <v>85</v>
      </c>
      <c r="B26" s="13"/>
      <c r="C26" s="13"/>
      <c r="D26" s="13"/>
      <c r="E26" s="13"/>
      <c r="G26" s="12" t="s">
        <v>85</v>
      </c>
      <c r="H26" s="13"/>
      <c r="I26" s="13"/>
      <c r="J26" s="13"/>
      <c r="K26" s="13"/>
    </row>
    <row r="27" spans="1:11" x14ac:dyDescent="0.25">
      <c r="A27" s="12" t="s">
        <v>86</v>
      </c>
      <c r="B27" s="13"/>
      <c r="C27" s="13"/>
      <c r="D27" s="13"/>
      <c r="E27" s="13"/>
      <c r="G27" s="12" t="s">
        <v>86</v>
      </c>
      <c r="H27" s="13"/>
      <c r="I27" s="13"/>
      <c r="J27" s="13"/>
      <c r="K27" s="13"/>
    </row>
    <row r="28" spans="1:11" x14ac:dyDescent="0.25">
      <c r="A28" s="12" t="s">
        <v>87</v>
      </c>
      <c r="B28" s="13"/>
      <c r="C28" s="13"/>
      <c r="D28" s="13"/>
      <c r="E28" s="13"/>
      <c r="G28" s="12" t="s">
        <v>87</v>
      </c>
      <c r="H28" s="13"/>
      <c r="I28" s="13"/>
      <c r="J28" s="13"/>
      <c r="K28" s="13"/>
    </row>
    <row r="29" spans="1:11" x14ac:dyDescent="0.25">
      <c r="A29" s="12" t="s">
        <v>88</v>
      </c>
      <c r="B29" s="13"/>
      <c r="C29" s="13"/>
      <c r="D29" s="13"/>
      <c r="E29" s="13"/>
      <c r="G29" s="12" t="s">
        <v>88</v>
      </c>
      <c r="H29" s="13"/>
      <c r="I29" s="13"/>
      <c r="J29" s="13"/>
      <c r="K29" s="13"/>
    </row>
    <row r="30" spans="1:11" x14ac:dyDescent="0.25">
      <c r="A30" s="12" t="s">
        <v>89</v>
      </c>
      <c r="B30" s="13"/>
      <c r="C30" s="13"/>
      <c r="D30" s="13"/>
      <c r="E30" s="13"/>
      <c r="G30" s="12" t="s">
        <v>89</v>
      </c>
      <c r="H30" s="13"/>
      <c r="I30" s="13"/>
      <c r="J30" s="13"/>
      <c r="K30" s="13"/>
    </row>
    <row r="31" spans="1:11" x14ac:dyDescent="0.25">
      <c r="A31" s="12" t="s">
        <v>90</v>
      </c>
      <c r="B31" s="13"/>
      <c r="C31" s="13"/>
      <c r="D31" s="13"/>
      <c r="E31" s="13"/>
      <c r="G31" s="12" t="s">
        <v>90</v>
      </c>
      <c r="H31" s="13"/>
      <c r="I31" s="13"/>
      <c r="J31" s="13"/>
      <c r="K31" s="13"/>
    </row>
    <row r="32" spans="1:11"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f>AVERAGE(H21:H34)</f>
        <v>2185</v>
      </c>
      <c r="I35" s="16"/>
      <c r="J35" s="16"/>
      <c r="K35" s="16"/>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t="s">
        <v>214</v>
      </c>
      <c r="C40" s="13" t="s">
        <v>141</v>
      </c>
      <c r="D40" s="13" t="s">
        <v>220</v>
      </c>
      <c r="E40" s="13">
        <f>(2805*2)/3</f>
        <v>1870</v>
      </c>
    </row>
    <row r="41" spans="1:11" x14ac:dyDescent="0.25">
      <c r="A41" s="12" t="s">
        <v>103</v>
      </c>
      <c r="B41" s="13" t="s">
        <v>214</v>
      </c>
      <c r="C41" s="13" t="s">
        <v>141</v>
      </c>
      <c r="D41" s="13" t="s">
        <v>221</v>
      </c>
      <c r="E41" s="13">
        <f>(2635*2)/3</f>
        <v>1756.6666666666667</v>
      </c>
    </row>
    <row r="42" spans="1:11" x14ac:dyDescent="0.25">
      <c r="A42" s="12" t="s">
        <v>104</v>
      </c>
      <c r="B42" s="13" t="s">
        <v>214</v>
      </c>
      <c r="C42" s="13" t="s">
        <v>141</v>
      </c>
      <c r="D42" s="13" t="s">
        <v>214</v>
      </c>
      <c r="E42" s="13">
        <f>(2480*2)/3</f>
        <v>1653.3333333333333</v>
      </c>
    </row>
    <row r="43" spans="1:11" x14ac:dyDescent="0.25">
      <c r="A43" s="12" t="s">
        <v>105</v>
      </c>
      <c r="B43" s="13" t="s">
        <v>155</v>
      </c>
      <c r="C43" s="13" t="s">
        <v>141</v>
      </c>
      <c r="D43" s="13" t="s">
        <v>222</v>
      </c>
      <c r="E43" s="13">
        <f>(2520*2)/3</f>
        <v>1680</v>
      </c>
    </row>
    <row r="44" spans="1:11" x14ac:dyDescent="0.25">
      <c r="A44" s="12" t="s">
        <v>106</v>
      </c>
      <c r="B44" s="13" t="s">
        <v>154</v>
      </c>
      <c r="C44" s="13" t="s">
        <v>141</v>
      </c>
      <c r="D44" s="13" t="s">
        <v>223</v>
      </c>
      <c r="E44" s="13">
        <f>(2350*2)/3</f>
        <v>1566.6666666666667</v>
      </c>
    </row>
    <row r="45" spans="1:11" x14ac:dyDescent="0.25">
      <c r="A45" s="12" t="s">
        <v>107</v>
      </c>
      <c r="B45" s="13"/>
      <c r="C45" s="13"/>
      <c r="D45" s="13"/>
      <c r="E45" s="13"/>
    </row>
    <row r="46" spans="1:11" x14ac:dyDescent="0.25">
      <c r="A46" s="12" t="s">
        <v>108</v>
      </c>
      <c r="B46" s="13"/>
      <c r="C46" s="13"/>
      <c r="D46" s="13"/>
      <c r="E46" s="13"/>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AVERAGE(E40:E53)</f>
        <v>1705.3333333333333</v>
      </c>
    </row>
  </sheetData>
  <mergeCells count="5">
    <mergeCell ref="A1:E1"/>
    <mergeCell ref="G1:K1"/>
    <mergeCell ref="A19:E19"/>
    <mergeCell ref="G19:K19"/>
    <mergeCell ref="A38:E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opLeftCell="A22" workbookViewId="0">
      <selection activeCell="P24" sqref="P24"/>
    </sheetView>
  </sheetViews>
  <sheetFormatPr defaultRowHeight="15" x14ac:dyDescent="0.25"/>
  <cols>
    <col min="1" max="1" width="9.140625" style="9"/>
    <col min="2" max="5" width="10.5703125" style="9" bestFit="1" customWidth="1"/>
    <col min="6" max="7" width="9.140625" style="9"/>
    <col min="8" max="10" width="10.5703125" style="9" bestFit="1" customWidth="1"/>
    <col min="11" max="16384" width="9.140625" style="9"/>
  </cols>
  <sheetData>
    <row r="1" spans="1:11" ht="15.75" x14ac:dyDescent="0.25">
      <c r="A1" s="72" t="s">
        <v>74</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c r="C3" s="13">
        <v>2296</v>
      </c>
      <c r="D3" s="13"/>
      <c r="E3" s="13"/>
      <c r="G3" s="12" t="s">
        <v>80</v>
      </c>
      <c r="H3" s="13"/>
      <c r="I3" s="13"/>
      <c r="J3" s="13"/>
      <c r="K3" s="13"/>
    </row>
    <row r="4" spans="1:11" x14ac:dyDescent="0.25">
      <c r="A4" s="12" t="s">
        <v>81</v>
      </c>
      <c r="B4" s="13"/>
      <c r="C4" s="13"/>
      <c r="D4" s="13">
        <v>1907</v>
      </c>
      <c r="E4" s="13"/>
      <c r="G4" s="12" t="s">
        <v>81</v>
      </c>
      <c r="H4" s="13"/>
      <c r="I4" s="13"/>
      <c r="J4" s="13"/>
      <c r="K4" s="13"/>
    </row>
    <row r="5" spans="1:11" x14ac:dyDescent="0.25">
      <c r="A5" s="12" t="s">
        <v>82</v>
      </c>
      <c r="B5" s="13"/>
      <c r="C5" s="13"/>
      <c r="D5" s="13">
        <v>1786</v>
      </c>
      <c r="E5" s="13"/>
      <c r="G5" s="12" t="s">
        <v>82</v>
      </c>
      <c r="H5" s="13"/>
      <c r="I5" s="13"/>
      <c r="J5" s="13"/>
      <c r="K5" s="13"/>
    </row>
    <row r="6" spans="1:11" x14ac:dyDescent="0.25">
      <c r="A6" s="12" t="s">
        <v>83</v>
      </c>
      <c r="B6" s="13">
        <v>3103</v>
      </c>
      <c r="C6" s="13"/>
      <c r="D6" s="13"/>
      <c r="E6" s="13"/>
      <c r="G6" s="12" t="s">
        <v>83</v>
      </c>
      <c r="H6" s="13"/>
      <c r="I6" s="13"/>
      <c r="J6" s="13"/>
      <c r="K6" s="13"/>
    </row>
    <row r="7" spans="1:11" x14ac:dyDescent="0.25">
      <c r="A7" s="12" t="s">
        <v>84</v>
      </c>
      <c r="B7" s="13"/>
      <c r="C7" s="13">
        <v>2453</v>
      </c>
      <c r="D7" s="13"/>
      <c r="E7" s="13"/>
      <c r="G7" s="12" t="s">
        <v>84</v>
      </c>
      <c r="H7" s="13"/>
      <c r="I7" s="13"/>
      <c r="J7" s="13"/>
      <c r="K7" s="13"/>
    </row>
    <row r="8" spans="1:11" x14ac:dyDescent="0.25">
      <c r="A8" s="12" t="s">
        <v>85</v>
      </c>
      <c r="B8" s="13">
        <v>3304</v>
      </c>
      <c r="C8" s="13"/>
      <c r="D8" s="13"/>
      <c r="E8" s="13"/>
      <c r="G8" s="12" t="s">
        <v>85</v>
      </c>
      <c r="H8" s="13"/>
      <c r="I8" s="13"/>
      <c r="J8" s="13"/>
      <c r="K8" s="13"/>
    </row>
    <row r="9" spans="1:11" x14ac:dyDescent="0.25">
      <c r="A9" s="12" t="s">
        <v>86</v>
      </c>
      <c r="B9" s="13"/>
      <c r="C9" s="13">
        <v>2296</v>
      </c>
      <c r="D9" s="13"/>
      <c r="E9" s="13"/>
      <c r="G9" s="12" t="s">
        <v>86</v>
      </c>
      <c r="H9" s="13"/>
      <c r="I9" s="13"/>
      <c r="J9" s="13"/>
      <c r="K9" s="13"/>
    </row>
    <row r="10" spans="1:11" x14ac:dyDescent="0.25">
      <c r="A10" s="12" t="s">
        <v>87</v>
      </c>
      <c r="B10" s="13"/>
      <c r="C10" s="13"/>
      <c r="D10" s="13"/>
      <c r="E10" s="13"/>
      <c r="G10" s="12" t="s">
        <v>87</v>
      </c>
      <c r="H10" s="13"/>
      <c r="I10" s="13"/>
      <c r="J10" s="13"/>
      <c r="K10" s="13"/>
    </row>
    <row r="11" spans="1:11" x14ac:dyDescent="0.25">
      <c r="A11" s="12" t="s">
        <v>88</v>
      </c>
      <c r="B11" s="13"/>
      <c r="C11" s="13"/>
      <c r="D11" s="13"/>
      <c r="E11" s="13"/>
      <c r="G11" s="12" t="s">
        <v>88</v>
      </c>
      <c r="H11" s="13"/>
      <c r="I11" s="13"/>
      <c r="J11" s="13"/>
      <c r="K11" s="13"/>
    </row>
    <row r="12" spans="1:11" x14ac:dyDescent="0.25">
      <c r="A12" s="12" t="s">
        <v>89</v>
      </c>
      <c r="B12" s="13"/>
      <c r="C12" s="13"/>
      <c r="D12" s="13"/>
      <c r="E12" s="13"/>
      <c r="G12" s="12" t="s">
        <v>89</v>
      </c>
      <c r="H12" s="13"/>
      <c r="I12" s="13"/>
      <c r="J12" s="13"/>
      <c r="K12" s="13"/>
    </row>
    <row r="13" spans="1:11" x14ac:dyDescent="0.25">
      <c r="A13" s="12" t="s">
        <v>90</v>
      </c>
      <c r="B13" s="13"/>
      <c r="C13" s="13"/>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1" ht="15.75" thickBot="1" x14ac:dyDescent="0.3">
      <c r="A17" s="11" t="s">
        <v>94</v>
      </c>
      <c r="B17" s="16">
        <f>AVERAGE(B3:B16)</f>
        <v>3203.5</v>
      </c>
      <c r="C17" s="16">
        <f t="shared" ref="C17:D17" si="0">AVERAGE(C3:C16)</f>
        <v>2348.3333333333335</v>
      </c>
      <c r="D17" s="16">
        <f t="shared" si="0"/>
        <v>1846.5</v>
      </c>
      <c r="E17" s="16"/>
      <c r="G17" s="11" t="s">
        <v>94</v>
      </c>
      <c r="H17" s="16"/>
      <c r="I17" s="16"/>
      <c r="J17" s="16"/>
      <c r="K17" s="16"/>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118</v>
      </c>
      <c r="H21" s="13">
        <v>3461</v>
      </c>
      <c r="I21" s="13"/>
      <c r="J21" s="13"/>
      <c r="K21" s="13"/>
    </row>
    <row r="22" spans="1:11" x14ac:dyDescent="0.25">
      <c r="A22" s="12" t="s">
        <v>81</v>
      </c>
      <c r="B22" s="13"/>
      <c r="C22" s="13"/>
      <c r="D22" s="13"/>
      <c r="E22" s="13"/>
      <c r="G22" s="12" t="s">
        <v>118</v>
      </c>
      <c r="H22" s="13">
        <v>4100</v>
      </c>
      <c r="I22" s="13"/>
      <c r="J22" s="13"/>
      <c r="K22" s="13"/>
    </row>
    <row r="23" spans="1:11" x14ac:dyDescent="0.25">
      <c r="A23" s="12" t="s">
        <v>82</v>
      </c>
      <c r="B23" s="13"/>
      <c r="C23" s="13"/>
      <c r="D23" s="13"/>
      <c r="E23" s="13"/>
      <c r="G23" s="12" t="s">
        <v>146</v>
      </c>
      <c r="H23" s="13"/>
      <c r="I23" s="13">
        <v>2511</v>
      </c>
      <c r="J23" s="13"/>
      <c r="K23" s="13"/>
    </row>
    <row r="24" spans="1:11" x14ac:dyDescent="0.25">
      <c r="A24" s="12" t="s">
        <v>83</v>
      </c>
      <c r="B24" s="13"/>
      <c r="C24" s="13"/>
      <c r="D24" s="13"/>
      <c r="E24" s="13"/>
      <c r="G24" s="12" t="s">
        <v>146</v>
      </c>
      <c r="H24" s="13"/>
      <c r="I24" s="13">
        <v>2634</v>
      </c>
      <c r="J24" s="13"/>
      <c r="K24" s="13"/>
    </row>
    <row r="25" spans="1:11" x14ac:dyDescent="0.25">
      <c r="A25" s="12" t="s">
        <v>84</v>
      </c>
      <c r="B25" s="13"/>
      <c r="C25" s="13"/>
      <c r="D25" s="13"/>
      <c r="E25" s="13"/>
      <c r="G25" s="12" t="s">
        <v>117</v>
      </c>
      <c r="H25" s="13">
        <v>4021</v>
      </c>
      <c r="I25" s="13"/>
      <c r="J25" s="13"/>
      <c r="K25" s="13"/>
    </row>
    <row r="26" spans="1:11" x14ac:dyDescent="0.25">
      <c r="A26" s="12" t="s">
        <v>85</v>
      </c>
      <c r="B26" s="13"/>
      <c r="C26" s="13"/>
      <c r="D26" s="13"/>
      <c r="E26" s="13"/>
      <c r="G26" s="12" t="s">
        <v>117</v>
      </c>
      <c r="H26" s="13"/>
      <c r="I26" s="13"/>
      <c r="J26" s="13">
        <v>2296</v>
      </c>
      <c r="K26" s="13"/>
    </row>
    <row r="27" spans="1:11" x14ac:dyDescent="0.25">
      <c r="A27" s="12" t="s">
        <v>86</v>
      </c>
      <c r="B27" s="13"/>
      <c r="C27" s="13"/>
      <c r="D27" s="13"/>
      <c r="E27" s="13"/>
      <c r="G27" s="12" t="s">
        <v>147</v>
      </c>
      <c r="H27" s="13">
        <v>3593</v>
      </c>
      <c r="I27" s="13"/>
      <c r="J27" s="13"/>
      <c r="K27" s="13"/>
    </row>
    <row r="28" spans="1:11" x14ac:dyDescent="0.25">
      <c r="A28" s="12" t="s">
        <v>87</v>
      </c>
      <c r="B28" s="13"/>
      <c r="C28" s="13"/>
      <c r="D28" s="13"/>
      <c r="E28" s="13"/>
      <c r="G28" s="12" t="s">
        <v>147</v>
      </c>
      <c r="H28" s="13"/>
      <c r="I28" s="13">
        <v>2515</v>
      </c>
      <c r="J28" s="13"/>
      <c r="K28" s="13"/>
    </row>
    <row r="29" spans="1:11" x14ac:dyDescent="0.25">
      <c r="A29" s="12" t="s">
        <v>88</v>
      </c>
      <c r="B29" s="13"/>
      <c r="C29" s="13"/>
      <c r="D29" s="13"/>
      <c r="E29" s="13"/>
      <c r="G29" s="12" t="s">
        <v>79</v>
      </c>
      <c r="H29" s="13">
        <v>3032</v>
      </c>
      <c r="I29" s="13"/>
      <c r="J29" s="13"/>
      <c r="K29" s="13"/>
    </row>
    <row r="30" spans="1:11" x14ac:dyDescent="0.25">
      <c r="A30" s="12" t="s">
        <v>89</v>
      </c>
      <c r="B30" s="13"/>
      <c r="C30" s="13"/>
      <c r="D30" s="13"/>
      <c r="E30" s="13"/>
      <c r="G30" s="12" t="s">
        <v>147</v>
      </c>
      <c r="H30" s="13">
        <v>3923</v>
      </c>
      <c r="I30" s="13"/>
      <c r="J30" s="13"/>
      <c r="K30" s="13"/>
    </row>
    <row r="31" spans="1:11" x14ac:dyDescent="0.25">
      <c r="A31" s="12" t="s">
        <v>90</v>
      </c>
      <c r="B31" s="13"/>
      <c r="C31" s="13"/>
      <c r="D31" s="13"/>
      <c r="E31" s="13"/>
      <c r="G31" s="12" t="s">
        <v>147</v>
      </c>
      <c r="H31" s="13"/>
      <c r="I31" s="13">
        <v>4614</v>
      </c>
      <c r="J31" s="13"/>
      <c r="K31" s="13"/>
    </row>
    <row r="32" spans="1:11" x14ac:dyDescent="0.25">
      <c r="A32" s="12" t="s">
        <v>91</v>
      </c>
      <c r="B32" s="13"/>
      <c r="C32" s="13"/>
      <c r="D32" s="13"/>
      <c r="E32" s="13"/>
      <c r="G32" s="12" t="s">
        <v>147</v>
      </c>
      <c r="H32" s="13">
        <v>3724</v>
      </c>
      <c r="I32" s="13"/>
      <c r="J32" s="13"/>
      <c r="K32" s="13"/>
    </row>
    <row r="33" spans="1:11" x14ac:dyDescent="0.25">
      <c r="A33" s="12" t="s">
        <v>92</v>
      </c>
      <c r="B33" s="13"/>
      <c r="C33" s="13"/>
      <c r="D33" s="13"/>
      <c r="E33" s="13"/>
      <c r="G33" s="12" t="s">
        <v>147</v>
      </c>
      <c r="H33" s="13"/>
      <c r="I33" s="13">
        <v>2571</v>
      </c>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f>AVERAGE(H21:H34)</f>
        <v>3693.4285714285716</v>
      </c>
      <c r="I35" s="16">
        <f t="shared" ref="I35:J35" si="1">AVERAGE(I21:I34)</f>
        <v>2969</v>
      </c>
      <c r="J35" s="16">
        <f t="shared" si="1"/>
        <v>2296</v>
      </c>
      <c r="K35" s="16"/>
    </row>
    <row r="36" spans="1:11" ht="15.75" thickTop="1" x14ac:dyDescent="0.25"/>
    <row r="38" spans="1:11" ht="15.75" x14ac:dyDescent="0.25">
      <c r="A38" s="72" t="s">
        <v>97</v>
      </c>
      <c r="B38" s="72"/>
      <c r="C38" s="72"/>
      <c r="D38" s="72"/>
      <c r="E38" s="72"/>
      <c r="F38" s="9" t="s">
        <v>266</v>
      </c>
    </row>
    <row r="39" spans="1:11" x14ac:dyDescent="0.25">
      <c r="A39" s="12"/>
      <c r="B39" s="17" t="s">
        <v>98</v>
      </c>
      <c r="C39" s="17" t="s">
        <v>99</v>
      </c>
      <c r="D39" s="17" t="s">
        <v>100</v>
      </c>
      <c r="E39" s="17" t="s">
        <v>101</v>
      </c>
    </row>
    <row r="40" spans="1:11" x14ac:dyDescent="0.25">
      <c r="A40" s="12" t="s">
        <v>102</v>
      </c>
      <c r="B40" s="13" t="s">
        <v>144</v>
      </c>
      <c r="C40" s="13" t="s">
        <v>141</v>
      </c>
      <c r="D40" s="13" t="s">
        <v>264</v>
      </c>
      <c r="E40" s="13">
        <v>2300</v>
      </c>
    </row>
    <row r="41" spans="1:11" x14ac:dyDescent="0.25">
      <c r="A41" s="12" t="s">
        <v>103</v>
      </c>
      <c r="B41" s="13" t="s">
        <v>144</v>
      </c>
      <c r="C41" s="13" t="s">
        <v>141</v>
      </c>
      <c r="D41" s="13" t="s">
        <v>265</v>
      </c>
      <c r="E41" s="13">
        <v>1800</v>
      </c>
    </row>
    <row r="42" spans="1:11" x14ac:dyDescent="0.25">
      <c r="A42" s="12" t="s">
        <v>104</v>
      </c>
      <c r="B42" s="13" t="s">
        <v>144</v>
      </c>
      <c r="C42" s="13" t="s">
        <v>141</v>
      </c>
      <c r="D42" s="13" t="s">
        <v>267</v>
      </c>
      <c r="E42" s="13">
        <v>1660</v>
      </c>
    </row>
    <row r="43" spans="1:11" x14ac:dyDescent="0.25">
      <c r="A43" s="12" t="s">
        <v>105</v>
      </c>
      <c r="B43" s="13" t="s">
        <v>144</v>
      </c>
      <c r="C43" s="13" t="s">
        <v>141</v>
      </c>
      <c r="D43" s="13" t="s">
        <v>268</v>
      </c>
      <c r="E43" s="13">
        <v>1425</v>
      </c>
    </row>
    <row r="44" spans="1:11" x14ac:dyDescent="0.25">
      <c r="A44" s="12" t="s">
        <v>106</v>
      </c>
      <c r="B44" s="13" t="s">
        <v>144</v>
      </c>
      <c r="C44" s="13" t="s">
        <v>141</v>
      </c>
      <c r="D44" s="13" t="s">
        <v>269</v>
      </c>
      <c r="E44" s="13">
        <v>980</v>
      </c>
    </row>
    <row r="45" spans="1:11" x14ac:dyDescent="0.25">
      <c r="A45" s="12" t="s">
        <v>107</v>
      </c>
      <c r="B45" s="13" t="s">
        <v>144</v>
      </c>
      <c r="C45" s="13" t="s">
        <v>141</v>
      </c>
      <c r="D45" s="13" t="s">
        <v>270</v>
      </c>
      <c r="E45" s="13">
        <v>650</v>
      </c>
    </row>
    <row r="46" spans="1:11" x14ac:dyDescent="0.25">
      <c r="A46" s="12" t="s">
        <v>108</v>
      </c>
      <c r="B46" s="13" t="s">
        <v>144</v>
      </c>
      <c r="C46" s="13" t="s">
        <v>141</v>
      </c>
      <c r="D46" s="13" t="s">
        <v>271</v>
      </c>
      <c r="E46" s="13">
        <v>300</v>
      </c>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AVERAGE(E40:E44)</f>
        <v>1633</v>
      </c>
    </row>
  </sheetData>
  <mergeCells count="5">
    <mergeCell ref="A1:E1"/>
    <mergeCell ref="G1:K1"/>
    <mergeCell ref="A19:E19"/>
    <mergeCell ref="G19:K19"/>
    <mergeCell ref="A38:E3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opLeftCell="A22" workbookViewId="0">
      <selection activeCell="L40" sqref="L40"/>
    </sheetView>
  </sheetViews>
  <sheetFormatPr defaultRowHeight="15" x14ac:dyDescent="0.25"/>
  <cols>
    <col min="1" max="1" width="9.140625" style="9"/>
    <col min="2" max="3" width="10.5703125" style="9" bestFit="1" customWidth="1"/>
    <col min="4" max="4" width="12.42578125" style="9" bestFit="1" customWidth="1"/>
    <col min="5" max="5" width="10.5703125" style="9" bestFit="1" customWidth="1"/>
    <col min="6" max="7" width="9.140625" style="9"/>
    <col min="8" max="9" width="10.5703125" style="9" bestFit="1" customWidth="1"/>
    <col min="10" max="16384" width="9.140625" style="9"/>
  </cols>
  <sheetData>
    <row r="1" spans="1:11" ht="15.75" x14ac:dyDescent="0.25">
      <c r="A1" s="72" t="s">
        <v>74</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f>(4684 * 2) /3</f>
        <v>3122.6666666666665</v>
      </c>
      <c r="C3" s="13"/>
      <c r="D3" s="13"/>
      <c r="E3" s="13"/>
      <c r="G3" s="12" t="s">
        <v>80</v>
      </c>
      <c r="H3" s="13">
        <f>(4823 *2)/3</f>
        <v>3215.3333333333335</v>
      </c>
      <c r="I3" s="13"/>
      <c r="J3" s="13"/>
      <c r="K3" s="13"/>
    </row>
    <row r="4" spans="1:11" x14ac:dyDescent="0.25">
      <c r="A4" s="12" t="s">
        <v>81</v>
      </c>
      <c r="B4" s="13"/>
      <c r="C4" s="13">
        <f>(3471 * 2) /3</f>
        <v>2314</v>
      </c>
      <c r="D4" s="13"/>
      <c r="E4" s="13"/>
      <c r="G4" s="12" t="s">
        <v>81</v>
      </c>
      <c r="H4" s="13"/>
      <c r="I4" s="13">
        <f>(3651 *2) /3</f>
        <v>2434</v>
      </c>
      <c r="J4" s="13"/>
      <c r="K4" s="13"/>
    </row>
    <row r="5" spans="1:11" x14ac:dyDescent="0.25">
      <c r="A5" s="12" t="s">
        <v>82</v>
      </c>
      <c r="B5" s="13"/>
      <c r="C5" s="13"/>
      <c r="D5" s="13">
        <f xml:space="preserve"> (3045 * 2) / 3</f>
        <v>2030</v>
      </c>
      <c r="E5" s="13">
        <f xml:space="preserve"> (3045 * 2) / 3</f>
        <v>2030</v>
      </c>
      <c r="G5" s="12" t="s">
        <v>82</v>
      </c>
      <c r="H5" s="13"/>
      <c r="I5" s="13"/>
      <c r="J5" s="13"/>
      <c r="K5" s="13"/>
    </row>
    <row r="6" spans="1:11" x14ac:dyDescent="0.25">
      <c r="A6" s="12" t="s">
        <v>83</v>
      </c>
      <c r="B6" s="13"/>
      <c r="C6" s="13"/>
      <c r="D6" s="13"/>
      <c r="E6" s="13"/>
      <c r="G6" s="12" t="s">
        <v>83</v>
      </c>
      <c r="H6" s="13"/>
      <c r="I6" s="13"/>
      <c r="J6" s="13"/>
      <c r="K6" s="13"/>
    </row>
    <row r="7" spans="1:11" x14ac:dyDescent="0.25">
      <c r="A7" s="12" t="s">
        <v>84</v>
      </c>
      <c r="B7" s="13"/>
      <c r="C7" s="13"/>
      <c r="D7" s="13"/>
      <c r="E7" s="13"/>
      <c r="G7" s="12" t="s">
        <v>84</v>
      </c>
      <c r="H7" s="13"/>
      <c r="I7" s="13"/>
      <c r="J7" s="13"/>
      <c r="K7" s="13"/>
    </row>
    <row r="8" spans="1:11" x14ac:dyDescent="0.25">
      <c r="A8" s="12" t="s">
        <v>85</v>
      </c>
      <c r="B8" s="13"/>
      <c r="C8" s="13"/>
      <c r="D8" s="13"/>
      <c r="E8" s="13"/>
      <c r="G8" s="12" t="s">
        <v>85</v>
      </c>
      <c r="H8" s="13"/>
      <c r="I8" s="13"/>
      <c r="J8" s="13"/>
      <c r="K8" s="13"/>
    </row>
    <row r="9" spans="1:11" x14ac:dyDescent="0.25">
      <c r="A9" s="12" t="s">
        <v>86</v>
      </c>
      <c r="B9" s="13"/>
      <c r="C9" s="13"/>
      <c r="D9" s="13"/>
      <c r="E9" s="13"/>
      <c r="G9" s="12" t="s">
        <v>86</v>
      </c>
      <c r="H9" s="13"/>
      <c r="I9" s="13"/>
      <c r="J9" s="13"/>
      <c r="K9" s="13"/>
    </row>
    <row r="10" spans="1:11" x14ac:dyDescent="0.25">
      <c r="A10" s="12" t="s">
        <v>87</v>
      </c>
      <c r="B10" s="13"/>
      <c r="C10" s="13"/>
      <c r="D10" s="13"/>
      <c r="E10" s="13"/>
      <c r="G10" s="12" t="s">
        <v>87</v>
      </c>
      <c r="H10" s="13"/>
      <c r="I10" s="13"/>
      <c r="J10" s="13"/>
      <c r="K10" s="13"/>
    </row>
    <row r="11" spans="1:11" x14ac:dyDescent="0.25">
      <c r="A11" s="12" t="s">
        <v>88</v>
      </c>
      <c r="B11" s="13"/>
      <c r="C11" s="13"/>
      <c r="D11" s="13"/>
      <c r="E11" s="13"/>
      <c r="G11" s="12" t="s">
        <v>88</v>
      </c>
      <c r="H11" s="13"/>
      <c r="I11" s="13"/>
      <c r="J11" s="13"/>
      <c r="K11" s="13"/>
    </row>
    <row r="12" spans="1:11" x14ac:dyDescent="0.25">
      <c r="A12" s="12" t="s">
        <v>89</v>
      </c>
      <c r="B12" s="13"/>
      <c r="C12" s="13"/>
      <c r="D12" s="13"/>
      <c r="E12" s="13"/>
      <c r="G12" s="12" t="s">
        <v>89</v>
      </c>
      <c r="H12" s="13"/>
      <c r="I12" s="13"/>
      <c r="J12" s="13"/>
      <c r="K12" s="13"/>
    </row>
    <row r="13" spans="1:11" x14ac:dyDescent="0.25">
      <c r="A13" s="12" t="s">
        <v>90</v>
      </c>
      <c r="B13" s="13"/>
      <c r="C13" s="13"/>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1" ht="15.75" thickBot="1" x14ac:dyDescent="0.3">
      <c r="A17" s="11" t="s">
        <v>94</v>
      </c>
      <c r="B17" s="16">
        <f>AVERAGE(B3:B16)</f>
        <v>3122.6666666666665</v>
      </c>
      <c r="C17" s="16">
        <f t="shared" ref="C17:E17" si="0">AVERAGE(C3:C16)</f>
        <v>2314</v>
      </c>
      <c r="D17" s="16">
        <f t="shared" si="0"/>
        <v>2030</v>
      </c>
      <c r="E17" s="16">
        <f t="shared" si="0"/>
        <v>2030</v>
      </c>
      <c r="G17" s="11" t="s">
        <v>94</v>
      </c>
      <c r="H17" s="16">
        <f>AVERAGE(H3:H16)</f>
        <v>3215.3333333333335</v>
      </c>
      <c r="I17" s="16">
        <f>AVERAGE(I3:I16)</f>
        <v>2434</v>
      </c>
      <c r="J17" s="16"/>
      <c r="K17" s="16"/>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80</v>
      </c>
      <c r="H21" s="13">
        <f>(5141*2)/3</f>
        <v>3427.3333333333335</v>
      </c>
      <c r="I21" s="13"/>
      <c r="J21" s="13"/>
      <c r="K21" s="13"/>
    </row>
    <row r="22" spans="1:11" x14ac:dyDescent="0.25">
      <c r="A22" s="12" t="s">
        <v>81</v>
      </c>
      <c r="B22" s="13"/>
      <c r="C22" s="13"/>
      <c r="D22" s="13"/>
      <c r="E22" s="13"/>
      <c r="G22" s="12" t="s">
        <v>81</v>
      </c>
      <c r="H22" s="13">
        <f>(4991*2)/3</f>
        <v>3327.3333333333335</v>
      </c>
      <c r="I22" s="13"/>
      <c r="J22" s="13"/>
      <c r="K22" s="13"/>
    </row>
    <row r="23" spans="1:11" x14ac:dyDescent="0.25">
      <c r="A23" s="12" t="s">
        <v>82</v>
      </c>
      <c r="B23" s="13"/>
      <c r="C23" s="13"/>
      <c r="D23" s="13"/>
      <c r="E23" s="13"/>
      <c r="G23" s="12" t="s">
        <v>82</v>
      </c>
      <c r="H23" s="13">
        <f>675*3</f>
        <v>2025</v>
      </c>
      <c r="I23" s="13"/>
      <c r="J23" s="13"/>
      <c r="K23" s="13"/>
    </row>
    <row r="24" spans="1:11" x14ac:dyDescent="0.25">
      <c r="A24" s="12" t="s">
        <v>83</v>
      </c>
      <c r="B24" s="13"/>
      <c r="C24" s="13"/>
      <c r="D24" s="13"/>
      <c r="E24" s="13"/>
      <c r="G24" s="12" t="s">
        <v>83</v>
      </c>
      <c r="H24" s="13"/>
      <c r="I24" s="13">
        <f>525*3</f>
        <v>1575</v>
      </c>
      <c r="J24" s="13"/>
      <c r="K24" s="13"/>
    </row>
    <row r="25" spans="1:11" x14ac:dyDescent="0.25">
      <c r="A25" s="12" t="s">
        <v>84</v>
      </c>
      <c r="B25" s="13"/>
      <c r="C25" s="13"/>
      <c r="D25" s="13"/>
      <c r="E25" s="13"/>
      <c r="G25" s="12" t="s">
        <v>84</v>
      </c>
      <c r="H25" s="13"/>
      <c r="I25" s="13"/>
      <c r="J25" s="13"/>
      <c r="K25" s="13"/>
    </row>
    <row r="26" spans="1:11" x14ac:dyDescent="0.25">
      <c r="A26" s="12" t="s">
        <v>85</v>
      </c>
      <c r="B26" s="13"/>
      <c r="C26" s="13"/>
      <c r="D26" s="13"/>
      <c r="E26" s="13"/>
      <c r="G26" s="12" t="s">
        <v>85</v>
      </c>
      <c r="H26" s="13"/>
      <c r="I26" s="13"/>
      <c r="J26" s="13"/>
      <c r="K26" s="13"/>
    </row>
    <row r="27" spans="1:11" x14ac:dyDescent="0.25">
      <c r="A27" s="12" t="s">
        <v>86</v>
      </c>
      <c r="B27" s="13"/>
      <c r="C27" s="13"/>
      <c r="D27" s="13"/>
      <c r="E27" s="13"/>
      <c r="G27" s="12" t="s">
        <v>86</v>
      </c>
      <c r="H27" s="13"/>
      <c r="I27" s="13"/>
      <c r="J27" s="13"/>
      <c r="K27" s="13"/>
    </row>
    <row r="28" spans="1:11" x14ac:dyDescent="0.25">
      <c r="A28" s="12" t="s">
        <v>87</v>
      </c>
      <c r="B28" s="13"/>
      <c r="C28" s="13"/>
      <c r="D28" s="13"/>
      <c r="E28" s="13"/>
      <c r="G28" s="12" t="s">
        <v>87</v>
      </c>
      <c r="H28" s="13"/>
      <c r="I28" s="13"/>
      <c r="J28" s="13"/>
      <c r="K28" s="13"/>
    </row>
    <row r="29" spans="1:11" x14ac:dyDescent="0.25">
      <c r="A29" s="12" t="s">
        <v>88</v>
      </c>
      <c r="B29" s="13"/>
      <c r="C29" s="13"/>
      <c r="D29" s="13"/>
      <c r="E29" s="13"/>
      <c r="G29" s="12" t="s">
        <v>88</v>
      </c>
      <c r="H29" s="13"/>
      <c r="I29" s="13"/>
      <c r="J29" s="13"/>
      <c r="K29" s="13"/>
    </row>
    <row r="30" spans="1:11" x14ac:dyDescent="0.25">
      <c r="A30" s="12" t="s">
        <v>89</v>
      </c>
      <c r="B30" s="13"/>
      <c r="C30" s="13"/>
      <c r="D30" s="13"/>
      <c r="E30" s="13"/>
      <c r="G30" s="12" t="s">
        <v>89</v>
      </c>
      <c r="H30" s="13"/>
      <c r="I30" s="13"/>
      <c r="J30" s="13"/>
      <c r="K30" s="13"/>
    </row>
    <row r="31" spans="1:11" x14ac:dyDescent="0.25">
      <c r="A31" s="12" t="s">
        <v>90</v>
      </c>
      <c r="B31" s="13"/>
      <c r="C31" s="13"/>
      <c r="D31" s="13"/>
      <c r="E31" s="13"/>
      <c r="G31" s="12" t="s">
        <v>90</v>
      </c>
      <c r="H31" s="13"/>
      <c r="I31" s="13"/>
      <c r="J31" s="13"/>
      <c r="K31" s="13"/>
    </row>
    <row r="32" spans="1:11"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f>AVERAGE(H21:H34)</f>
        <v>2926.5555555555561</v>
      </c>
      <c r="I35" s="16">
        <f>AVERAGE(I21:I34)</f>
        <v>1575</v>
      </c>
      <c r="J35" s="16"/>
      <c r="K35" s="16"/>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t="s">
        <v>200</v>
      </c>
      <c r="C40" s="13" t="s">
        <v>141</v>
      </c>
      <c r="D40" s="13" t="s">
        <v>224</v>
      </c>
      <c r="E40" s="13">
        <f>(1975*2)/3</f>
        <v>1316.6666666666667</v>
      </c>
    </row>
    <row r="41" spans="1:11" x14ac:dyDescent="0.25">
      <c r="A41" s="12" t="s">
        <v>103</v>
      </c>
      <c r="B41" s="13" t="s">
        <v>200</v>
      </c>
      <c r="C41" s="13" t="s">
        <v>141</v>
      </c>
      <c r="D41" s="13" t="s">
        <v>225</v>
      </c>
      <c r="E41" s="13">
        <f>(1825*2)/3</f>
        <v>1216.6666666666667</v>
      </c>
    </row>
    <row r="42" spans="1:11" x14ac:dyDescent="0.25">
      <c r="A42" s="12" t="s">
        <v>104</v>
      </c>
      <c r="B42" s="13" t="s">
        <v>200</v>
      </c>
      <c r="C42" s="13" t="s">
        <v>141</v>
      </c>
      <c r="D42" s="13" t="s">
        <v>226</v>
      </c>
      <c r="E42" s="13">
        <f>(1800*2)/3</f>
        <v>1200</v>
      </c>
    </row>
    <row r="43" spans="1:11" x14ac:dyDescent="0.25">
      <c r="A43" s="12" t="s">
        <v>105</v>
      </c>
      <c r="B43" s="13" t="s">
        <v>200</v>
      </c>
      <c r="C43" s="13" t="s">
        <v>141</v>
      </c>
      <c r="D43" s="13" t="s">
        <v>227</v>
      </c>
      <c r="E43" s="13">
        <f>(1750*2)/3</f>
        <v>1166.6666666666667</v>
      </c>
    </row>
    <row r="44" spans="1:11" x14ac:dyDescent="0.25">
      <c r="A44" s="12" t="s">
        <v>106</v>
      </c>
      <c r="B44" s="13" t="s">
        <v>200</v>
      </c>
      <c r="C44" s="13" t="s">
        <v>141</v>
      </c>
      <c r="D44" s="13" t="s">
        <v>228</v>
      </c>
      <c r="E44" s="13">
        <f>(1550*2)/3</f>
        <v>1033.3333333333333</v>
      </c>
    </row>
    <row r="45" spans="1:11" x14ac:dyDescent="0.25">
      <c r="A45" s="12" t="s">
        <v>107</v>
      </c>
      <c r="B45" s="13" t="s">
        <v>214</v>
      </c>
      <c r="C45" s="13" t="s">
        <v>141</v>
      </c>
      <c r="D45" s="13" t="s">
        <v>229</v>
      </c>
      <c r="E45" s="13">
        <f>479</f>
        <v>479</v>
      </c>
    </row>
    <row r="46" spans="1:11" x14ac:dyDescent="0.25">
      <c r="A46" s="12" t="s">
        <v>108</v>
      </c>
      <c r="B46" s="13" t="s">
        <v>230</v>
      </c>
      <c r="C46" s="13" t="s">
        <v>141</v>
      </c>
      <c r="D46" s="13" t="s">
        <v>231</v>
      </c>
      <c r="E46" s="13">
        <f>355</f>
        <v>355</v>
      </c>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AVERAGE(E40:E44)</f>
        <v>1186.6666666666665</v>
      </c>
    </row>
  </sheetData>
  <mergeCells count="5">
    <mergeCell ref="A1:E1"/>
    <mergeCell ref="G1:K1"/>
    <mergeCell ref="A19:E19"/>
    <mergeCell ref="G19:K19"/>
    <mergeCell ref="A38:E3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opLeftCell="A19" workbookViewId="0">
      <selection activeCell="L11" sqref="L11"/>
    </sheetView>
  </sheetViews>
  <sheetFormatPr defaultRowHeight="15" x14ac:dyDescent="0.25"/>
  <cols>
    <col min="1" max="1" width="9.140625" style="9"/>
    <col min="2" max="3" width="10.5703125" style="9" bestFit="1" customWidth="1"/>
    <col min="4" max="4" width="13.28515625" style="9" bestFit="1" customWidth="1"/>
    <col min="5" max="5" width="10.5703125" style="9" bestFit="1" customWidth="1"/>
    <col min="6" max="7" width="9.140625" style="9"/>
    <col min="8" max="9" width="10.5703125" style="9" bestFit="1" customWidth="1"/>
    <col min="10" max="16384" width="9.140625" style="9"/>
  </cols>
  <sheetData>
    <row r="1" spans="1:11" ht="15.75" x14ac:dyDescent="0.25">
      <c r="A1" s="72" t="s">
        <v>74</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f>((2485+15+75)*2)/3</f>
        <v>1716.6666666666667</v>
      </c>
      <c r="C3" s="13">
        <f>((2035+15+75)*2)/3</f>
        <v>1416.6666666666667</v>
      </c>
      <c r="D3" s="13"/>
      <c r="E3" s="13"/>
      <c r="G3" s="12" t="s">
        <v>80</v>
      </c>
      <c r="H3" s="13"/>
      <c r="I3" s="13"/>
      <c r="J3" s="13"/>
      <c r="K3" s="13"/>
    </row>
    <row r="4" spans="1:11" x14ac:dyDescent="0.25">
      <c r="A4" s="12" t="s">
        <v>81</v>
      </c>
      <c r="B4" s="13"/>
      <c r="C4" s="13"/>
      <c r="D4" s="13"/>
      <c r="E4" s="13"/>
      <c r="G4" s="12" t="s">
        <v>81</v>
      </c>
      <c r="H4" s="13"/>
      <c r="I4" s="13"/>
      <c r="J4" s="13"/>
      <c r="K4" s="13"/>
    </row>
    <row r="5" spans="1:11" x14ac:dyDescent="0.25">
      <c r="A5" s="12" t="s">
        <v>82</v>
      </c>
      <c r="B5" s="13"/>
      <c r="C5" s="13"/>
      <c r="D5" s="13"/>
      <c r="E5" s="13"/>
      <c r="G5" s="12" t="s">
        <v>82</v>
      </c>
      <c r="H5" s="13"/>
      <c r="I5" s="13"/>
      <c r="J5" s="13"/>
      <c r="K5" s="13"/>
    </row>
    <row r="6" spans="1:11" x14ac:dyDescent="0.25">
      <c r="A6" s="12" t="s">
        <v>83</v>
      </c>
      <c r="B6" s="13"/>
      <c r="C6" s="13"/>
      <c r="D6" s="13"/>
      <c r="E6" s="13"/>
      <c r="G6" s="12" t="s">
        <v>83</v>
      </c>
      <c r="H6" s="13"/>
      <c r="I6" s="13"/>
      <c r="J6" s="13"/>
      <c r="K6" s="13"/>
    </row>
    <row r="7" spans="1:11" x14ac:dyDescent="0.25">
      <c r="A7" s="12" t="s">
        <v>84</v>
      </c>
      <c r="B7" s="13"/>
      <c r="C7" s="13"/>
      <c r="D7" s="13"/>
      <c r="E7" s="13"/>
      <c r="G7" s="12" t="s">
        <v>84</v>
      </c>
      <c r="H7" s="13"/>
      <c r="I7" s="13"/>
      <c r="J7" s="13"/>
      <c r="K7" s="13"/>
    </row>
    <row r="8" spans="1:11" x14ac:dyDescent="0.25">
      <c r="A8" s="12" t="s">
        <v>85</v>
      </c>
      <c r="B8" s="13"/>
      <c r="C8" s="13"/>
      <c r="D8" s="13"/>
      <c r="E8" s="13"/>
      <c r="G8" s="12" t="s">
        <v>85</v>
      </c>
      <c r="H8" s="13"/>
      <c r="I8" s="13"/>
      <c r="J8" s="13"/>
      <c r="K8" s="13"/>
    </row>
    <row r="9" spans="1:11" x14ac:dyDescent="0.25">
      <c r="A9" s="12" t="s">
        <v>86</v>
      </c>
      <c r="B9" s="13"/>
      <c r="C9" s="13"/>
      <c r="D9" s="13"/>
      <c r="E9" s="13"/>
      <c r="G9" s="12" t="s">
        <v>86</v>
      </c>
      <c r="H9" s="13"/>
      <c r="I9" s="13"/>
      <c r="J9" s="13"/>
      <c r="K9" s="13"/>
    </row>
    <row r="10" spans="1:11" x14ac:dyDescent="0.25">
      <c r="A10" s="12" t="s">
        <v>87</v>
      </c>
      <c r="B10" s="13"/>
      <c r="C10" s="13"/>
      <c r="D10" s="13"/>
      <c r="E10" s="13"/>
      <c r="G10" s="12" t="s">
        <v>87</v>
      </c>
      <c r="H10" s="13"/>
      <c r="I10" s="13"/>
      <c r="J10" s="13"/>
      <c r="K10" s="13"/>
    </row>
    <row r="11" spans="1:11" x14ac:dyDescent="0.25">
      <c r="A11" s="12" t="s">
        <v>88</v>
      </c>
      <c r="B11" s="13"/>
      <c r="C11" s="13"/>
      <c r="D11" s="13"/>
      <c r="E11" s="13"/>
      <c r="G11" s="12" t="s">
        <v>88</v>
      </c>
      <c r="H11" s="13"/>
      <c r="I11" s="13"/>
      <c r="J11" s="13"/>
      <c r="K11" s="13"/>
    </row>
    <row r="12" spans="1:11" x14ac:dyDescent="0.25">
      <c r="A12" s="12" t="s">
        <v>89</v>
      </c>
      <c r="B12" s="13"/>
      <c r="C12" s="13"/>
      <c r="D12" s="13"/>
      <c r="E12" s="13"/>
      <c r="G12" s="12" t="s">
        <v>89</v>
      </c>
      <c r="H12" s="13"/>
      <c r="I12" s="13"/>
      <c r="J12" s="13"/>
      <c r="K12" s="13"/>
    </row>
    <row r="13" spans="1:11" x14ac:dyDescent="0.25">
      <c r="A13" s="12" t="s">
        <v>90</v>
      </c>
      <c r="B13" s="13"/>
      <c r="C13" s="13"/>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1" ht="15.75" thickBot="1" x14ac:dyDescent="0.3">
      <c r="A17" s="11" t="s">
        <v>94</v>
      </c>
      <c r="B17" s="16">
        <f>AVERAGE(B3:B16)</f>
        <v>1716.6666666666667</v>
      </c>
      <c r="C17" s="16">
        <f>AVERAGE(C3:C16)</f>
        <v>1416.6666666666667</v>
      </c>
      <c r="D17" s="16"/>
      <c r="E17" s="16"/>
      <c r="G17" s="11" t="s">
        <v>94</v>
      </c>
      <c r="H17" s="16"/>
      <c r="I17" s="16"/>
      <c r="J17" s="16"/>
      <c r="K17" s="16"/>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80</v>
      </c>
      <c r="H21" s="13"/>
      <c r="I21" s="13"/>
      <c r="J21" s="13"/>
      <c r="K21" s="13"/>
    </row>
    <row r="22" spans="1:11" x14ac:dyDescent="0.25">
      <c r="A22" s="12" t="s">
        <v>81</v>
      </c>
      <c r="B22" s="13"/>
      <c r="C22" s="13"/>
      <c r="D22" s="13"/>
      <c r="E22" s="13"/>
      <c r="G22" s="12" t="s">
        <v>81</v>
      </c>
      <c r="H22" s="13"/>
      <c r="I22" s="13"/>
      <c r="J22" s="13"/>
      <c r="K22" s="13"/>
    </row>
    <row r="23" spans="1:11" x14ac:dyDescent="0.25">
      <c r="A23" s="12" t="s">
        <v>82</v>
      </c>
      <c r="B23" s="13"/>
      <c r="C23" s="13"/>
      <c r="D23" s="13"/>
      <c r="E23" s="13"/>
      <c r="G23" s="12" t="s">
        <v>82</v>
      </c>
      <c r="H23" s="13"/>
      <c r="I23" s="13"/>
      <c r="J23" s="13"/>
      <c r="K23" s="13"/>
    </row>
    <row r="24" spans="1:11" x14ac:dyDescent="0.25">
      <c r="A24" s="12" t="s">
        <v>83</v>
      </c>
      <c r="B24" s="13"/>
      <c r="C24" s="13"/>
      <c r="D24" s="13"/>
      <c r="E24" s="13"/>
      <c r="G24" s="12" t="s">
        <v>83</v>
      </c>
      <c r="H24" s="13"/>
      <c r="I24" s="13"/>
      <c r="J24" s="13"/>
      <c r="K24" s="13"/>
    </row>
    <row r="25" spans="1:11" x14ac:dyDescent="0.25">
      <c r="A25" s="12" t="s">
        <v>84</v>
      </c>
      <c r="B25" s="13"/>
      <c r="C25" s="13"/>
      <c r="D25" s="13"/>
      <c r="E25" s="13"/>
      <c r="G25" s="12" t="s">
        <v>84</v>
      </c>
      <c r="H25" s="13"/>
      <c r="I25" s="13"/>
      <c r="J25" s="13"/>
      <c r="K25" s="13"/>
    </row>
    <row r="26" spans="1:11" x14ac:dyDescent="0.25">
      <c r="A26" s="12" t="s">
        <v>85</v>
      </c>
      <c r="B26" s="13"/>
      <c r="C26" s="13"/>
      <c r="D26" s="13"/>
      <c r="E26" s="13"/>
      <c r="G26" s="12" t="s">
        <v>85</v>
      </c>
      <c r="H26" s="13"/>
      <c r="I26" s="13"/>
      <c r="J26" s="13"/>
      <c r="K26" s="13"/>
    </row>
    <row r="27" spans="1:11" x14ac:dyDescent="0.25">
      <c r="A27" s="12" t="s">
        <v>86</v>
      </c>
      <c r="B27" s="13"/>
      <c r="C27" s="13"/>
      <c r="D27" s="13"/>
      <c r="E27" s="13"/>
      <c r="G27" s="12" t="s">
        <v>86</v>
      </c>
      <c r="H27" s="13"/>
      <c r="I27" s="13"/>
      <c r="J27" s="13"/>
      <c r="K27" s="13"/>
    </row>
    <row r="28" spans="1:11" x14ac:dyDescent="0.25">
      <c r="A28" s="12" t="s">
        <v>87</v>
      </c>
      <c r="B28" s="13"/>
      <c r="C28" s="13"/>
      <c r="D28" s="13"/>
      <c r="E28" s="13"/>
      <c r="G28" s="12" t="s">
        <v>87</v>
      </c>
      <c r="H28" s="13"/>
      <c r="I28" s="13"/>
      <c r="J28" s="13"/>
      <c r="K28" s="13"/>
    </row>
    <row r="29" spans="1:11" x14ac:dyDescent="0.25">
      <c r="A29" s="12" t="s">
        <v>88</v>
      </c>
      <c r="B29" s="13"/>
      <c r="C29" s="13"/>
      <c r="D29" s="13"/>
      <c r="E29" s="13"/>
      <c r="G29" s="12" t="s">
        <v>88</v>
      </c>
      <c r="H29" s="13"/>
      <c r="I29" s="13"/>
      <c r="J29" s="13"/>
      <c r="K29" s="13"/>
    </row>
    <row r="30" spans="1:11" x14ac:dyDescent="0.25">
      <c r="A30" s="12" t="s">
        <v>89</v>
      </c>
      <c r="B30" s="13"/>
      <c r="C30" s="13"/>
      <c r="D30" s="13"/>
      <c r="E30" s="13"/>
      <c r="G30" s="12" t="s">
        <v>89</v>
      </c>
      <c r="H30" s="13"/>
      <c r="I30" s="13"/>
      <c r="J30" s="13"/>
      <c r="K30" s="13"/>
    </row>
    <row r="31" spans="1:11" x14ac:dyDescent="0.25">
      <c r="A31" s="12" t="s">
        <v>90</v>
      </c>
      <c r="B31" s="13"/>
      <c r="C31" s="13"/>
      <c r="D31" s="13"/>
      <c r="E31" s="13"/>
      <c r="G31" s="12" t="s">
        <v>90</v>
      </c>
      <c r="H31" s="13"/>
      <c r="I31" s="13"/>
      <c r="J31" s="13"/>
      <c r="K31" s="13"/>
    </row>
    <row r="32" spans="1:11"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c r="I35" s="16"/>
      <c r="J35" s="16"/>
      <c r="K35" s="16"/>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t="s">
        <v>216</v>
      </c>
      <c r="C40" s="13" t="s">
        <v>141</v>
      </c>
      <c r="D40" s="13" t="s">
        <v>272</v>
      </c>
      <c r="E40" s="13">
        <f>(1599*2)/3</f>
        <v>1066</v>
      </c>
    </row>
    <row r="41" spans="1:11" x14ac:dyDescent="0.25">
      <c r="A41" s="12" t="s">
        <v>103</v>
      </c>
      <c r="B41" s="13" t="s">
        <v>216</v>
      </c>
      <c r="C41" s="13" t="s">
        <v>141</v>
      </c>
      <c r="D41" s="13" t="s">
        <v>273</v>
      </c>
      <c r="E41" s="13">
        <f>(1599*2)/3</f>
        <v>1066</v>
      </c>
    </row>
    <row r="42" spans="1:11" x14ac:dyDescent="0.25">
      <c r="A42" s="12" t="s">
        <v>104</v>
      </c>
      <c r="B42" s="13" t="s">
        <v>216</v>
      </c>
      <c r="C42" s="13" t="s">
        <v>141</v>
      </c>
      <c r="D42" s="13" t="s">
        <v>274</v>
      </c>
      <c r="E42" s="13">
        <f>(1521*2)/3</f>
        <v>1014</v>
      </c>
    </row>
    <row r="43" spans="1:11" x14ac:dyDescent="0.25">
      <c r="A43" s="12" t="s">
        <v>105</v>
      </c>
      <c r="B43" s="13" t="s">
        <v>216</v>
      </c>
      <c r="C43" s="13" t="s">
        <v>141</v>
      </c>
      <c r="D43" s="13" t="s">
        <v>275</v>
      </c>
      <c r="E43" s="13">
        <f>(1499*2)/3</f>
        <v>999.33333333333337</v>
      </c>
    </row>
    <row r="44" spans="1:11" x14ac:dyDescent="0.25">
      <c r="A44" s="12" t="s">
        <v>106</v>
      </c>
      <c r="B44" s="13" t="s">
        <v>216</v>
      </c>
      <c r="C44" s="13" t="s">
        <v>141</v>
      </c>
      <c r="D44" s="13" t="s">
        <v>276</v>
      </c>
      <c r="E44" s="13">
        <f>(1499*2)/3</f>
        <v>999.33333333333337</v>
      </c>
    </row>
    <row r="45" spans="1:11" x14ac:dyDescent="0.25">
      <c r="A45" s="12" t="s">
        <v>107</v>
      </c>
      <c r="B45" s="13" t="s">
        <v>216</v>
      </c>
      <c r="C45" s="13" t="s">
        <v>278</v>
      </c>
      <c r="D45" s="13" t="s">
        <v>277</v>
      </c>
      <c r="E45" s="13">
        <f>(1410*2)/3</f>
        <v>940</v>
      </c>
    </row>
    <row r="46" spans="1:11" x14ac:dyDescent="0.25">
      <c r="A46" s="12" t="s">
        <v>108</v>
      </c>
      <c r="B46" s="13"/>
      <c r="C46" s="13"/>
      <c r="D46" s="13"/>
      <c r="E46" s="13"/>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AVERAGE(E40:E53)</f>
        <v>1014.111111111111</v>
      </c>
    </row>
  </sheetData>
  <mergeCells count="5">
    <mergeCell ref="A1:E1"/>
    <mergeCell ref="G1:K1"/>
    <mergeCell ref="A19:E19"/>
    <mergeCell ref="G19:K19"/>
    <mergeCell ref="A38:E3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R21" sqref="R21"/>
    </sheetView>
  </sheetViews>
  <sheetFormatPr defaultRowHeight="15" x14ac:dyDescent="0.25"/>
  <cols>
    <col min="1" max="1" width="9.140625" style="9"/>
    <col min="2" max="3" width="10.5703125" style="9" bestFit="1" customWidth="1"/>
    <col min="4" max="4" width="9.140625" style="9"/>
    <col min="5" max="5" width="10.5703125" style="9" bestFit="1" customWidth="1"/>
    <col min="6" max="7" width="9.140625" style="9"/>
    <col min="8" max="8" width="10.5703125" style="9" bestFit="1" customWidth="1"/>
    <col min="9" max="16384" width="9.140625" style="9"/>
  </cols>
  <sheetData>
    <row r="1" spans="1:11" ht="15.75" x14ac:dyDescent="0.25">
      <c r="A1" s="72" t="s">
        <v>74</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f>4380 /3</f>
        <v>1460</v>
      </c>
      <c r="C3" s="13">
        <f>3779 /3</f>
        <v>1259.6666666666667</v>
      </c>
      <c r="D3" s="13"/>
      <c r="E3" s="13"/>
      <c r="G3" s="12" t="s">
        <v>80</v>
      </c>
      <c r="H3" s="13"/>
      <c r="I3" s="13"/>
      <c r="J3" s="13"/>
      <c r="K3" s="13"/>
    </row>
    <row r="4" spans="1:11" x14ac:dyDescent="0.25">
      <c r="A4" s="12" t="s">
        <v>81</v>
      </c>
      <c r="B4" s="13">
        <f xml:space="preserve"> 5543 /3</f>
        <v>1847.6666666666667</v>
      </c>
      <c r="C4" s="13"/>
      <c r="D4" s="13"/>
      <c r="E4" s="13"/>
      <c r="G4" s="12" t="s">
        <v>81</v>
      </c>
      <c r="H4" s="13"/>
      <c r="I4" s="13"/>
      <c r="J4" s="13"/>
      <c r="K4" s="13"/>
    </row>
    <row r="5" spans="1:11" x14ac:dyDescent="0.25">
      <c r="A5" s="12" t="s">
        <v>82</v>
      </c>
      <c r="B5" s="13">
        <f>4380 / 3</f>
        <v>1460</v>
      </c>
      <c r="C5" s="13"/>
      <c r="D5" s="13"/>
      <c r="E5" s="13"/>
      <c r="G5" s="12" t="s">
        <v>82</v>
      </c>
      <c r="H5" s="13"/>
      <c r="I5" s="13"/>
      <c r="J5" s="13"/>
      <c r="K5" s="13"/>
    </row>
    <row r="6" spans="1:11" x14ac:dyDescent="0.25">
      <c r="A6" s="12" t="s">
        <v>83</v>
      </c>
      <c r="B6" s="13"/>
      <c r="C6" s="13">
        <f>3779 / 3</f>
        <v>1259.6666666666667</v>
      </c>
      <c r="D6" s="13"/>
      <c r="E6" s="13"/>
      <c r="G6" s="12" t="s">
        <v>83</v>
      </c>
      <c r="H6" s="13"/>
      <c r="I6" s="13"/>
      <c r="J6" s="13"/>
      <c r="K6" s="13"/>
    </row>
    <row r="7" spans="1:11" x14ac:dyDescent="0.25">
      <c r="A7" s="12" t="s">
        <v>84</v>
      </c>
      <c r="B7" s="13"/>
      <c r="C7" s="13">
        <f>3779 / 3</f>
        <v>1259.6666666666667</v>
      </c>
      <c r="D7" s="13"/>
      <c r="E7" s="13"/>
      <c r="G7" s="12" t="s">
        <v>84</v>
      </c>
      <c r="H7" s="13"/>
      <c r="I7" s="13"/>
      <c r="J7" s="13"/>
      <c r="K7" s="13"/>
    </row>
    <row r="8" spans="1:11" x14ac:dyDescent="0.25">
      <c r="A8" s="12" t="s">
        <v>85</v>
      </c>
      <c r="B8" s="13"/>
      <c r="C8" s="13">
        <f xml:space="preserve"> 3779 /3</f>
        <v>1259.6666666666667</v>
      </c>
      <c r="D8" s="13"/>
      <c r="E8" s="13"/>
      <c r="G8" s="12" t="s">
        <v>85</v>
      </c>
      <c r="H8" s="13"/>
      <c r="I8" s="13"/>
      <c r="J8" s="13"/>
      <c r="K8" s="13"/>
    </row>
    <row r="9" spans="1:11" x14ac:dyDescent="0.25">
      <c r="A9" s="12" t="s">
        <v>86</v>
      </c>
      <c r="B9" s="13"/>
      <c r="C9" s="13">
        <f>4380 /3</f>
        <v>1460</v>
      </c>
      <c r="D9" s="13"/>
      <c r="E9" s="13"/>
      <c r="G9" s="12" t="s">
        <v>86</v>
      </c>
      <c r="H9" s="13"/>
      <c r="I9" s="13"/>
      <c r="J9" s="13"/>
      <c r="K9" s="13"/>
    </row>
    <row r="10" spans="1:11" x14ac:dyDescent="0.25">
      <c r="A10" s="12" t="s">
        <v>87</v>
      </c>
      <c r="B10" s="13"/>
      <c r="C10" s="13">
        <f>5868 / 2</f>
        <v>2934</v>
      </c>
      <c r="D10" s="13"/>
      <c r="E10" s="13"/>
      <c r="G10" s="12" t="s">
        <v>87</v>
      </c>
      <c r="H10" s="13"/>
      <c r="I10" s="13"/>
      <c r="J10" s="13"/>
      <c r="K10" s="13"/>
    </row>
    <row r="11" spans="1:11" x14ac:dyDescent="0.25">
      <c r="A11" s="12" t="s">
        <v>88</v>
      </c>
      <c r="B11" s="13"/>
      <c r="C11" s="13"/>
      <c r="D11" s="13"/>
      <c r="E11" s="13">
        <f>6076 / 4</f>
        <v>1519</v>
      </c>
      <c r="G11" s="12" t="s">
        <v>88</v>
      </c>
      <c r="H11" s="13"/>
      <c r="I11" s="13"/>
      <c r="J11" s="13"/>
      <c r="K11" s="13"/>
    </row>
    <row r="12" spans="1:11" x14ac:dyDescent="0.25">
      <c r="A12" s="12" t="s">
        <v>89</v>
      </c>
      <c r="B12" s="13"/>
      <c r="C12" s="13">
        <f>3779 /3</f>
        <v>1259.6666666666667</v>
      </c>
      <c r="D12" s="13"/>
      <c r="E12" s="13"/>
      <c r="G12" s="12" t="s">
        <v>89</v>
      </c>
      <c r="H12" s="13"/>
      <c r="I12" s="13"/>
      <c r="J12" s="13"/>
      <c r="K12" s="13"/>
    </row>
    <row r="13" spans="1:11" x14ac:dyDescent="0.25">
      <c r="A13" s="12" t="s">
        <v>90</v>
      </c>
      <c r="B13" s="13"/>
      <c r="C13" s="13"/>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1" ht="15.75" thickBot="1" x14ac:dyDescent="0.3">
      <c r="A17" s="11" t="s">
        <v>94</v>
      </c>
      <c r="B17" s="16">
        <f>AVERAGE(B3:B16)</f>
        <v>1589.2222222222224</v>
      </c>
      <c r="C17" s="16">
        <f t="shared" ref="C17:E17" si="0">AVERAGE(C3:C16)</f>
        <v>1527.4761904761906</v>
      </c>
      <c r="D17" s="16"/>
      <c r="E17" s="16">
        <f t="shared" si="0"/>
        <v>1519</v>
      </c>
      <c r="G17" s="11" t="s">
        <v>94</v>
      </c>
      <c r="H17" s="16"/>
      <c r="I17" s="16"/>
      <c r="J17" s="16"/>
      <c r="K17" s="16"/>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194</v>
      </c>
      <c r="H21" s="13">
        <f>(5944 / 3)</f>
        <v>1981.3333333333333</v>
      </c>
      <c r="I21" s="13"/>
      <c r="J21" s="13"/>
      <c r="K21" s="13"/>
    </row>
    <row r="22" spans="1:11" x14ac:dyDescent="0.25">
      <c r="A22" s="12" t="s">
        <v>81</v>
      </c>
      <c r="B22" s="13"/>
      <c r="C22" s="13"/>
      <c r="D22" s="13"/>
      <c r="E22" s="13"/>
      <c r="G22" s="12" t="s">
        <v>191</v>
      </c>
      <c r="H22" s="13">
        <f>(5944 / 3)</f>
        <v>1981.3333333333333</v>
      </c>
      <c r="I22" s="13"/>
      <c r="J22" s="13"/>
      <c r="K22" s="13"/>
    </row>
    <row r="23" spans="1:11" x14ac:dyDescent="0.25">
      <c r="A23" s="12" t="s">
        <v>82</v>
      </c>
      <c r="B23" s="13"/>
      <c r="C23" s="13"/>
      <c r="D23" s="13"/>
      <c r="E23" s="13"/>
      <c r="G23" s="12" t="s">
        <v>192</v>
      </c>
      <c r="H23" s="13">
        <f>(6206 /3)</f>
        <v>2068.6666666666665</v>
      </c>
      <c r="I23" s="13"/>
      <c r="J23" s="13"/>
      <c r="K23" s="13"/>
    </row>
    <row r="24" spans="1:11" x14ac:dyDescent="0.25">
      <c r="A24" s="12" t="s">
        <v>83</v>
      </c>
      <c r="B24" s="13"/>
      <c r="C24" s="13"/>
      <c r="D24" s="13"/>
      <c r="E24" s="13"/>
      <c r="G24" s="12" t="s">
        <v>193</v>
      </c>
      <c r="H24" s="13">
        <f>6206 / 3</f>
        <v>2068.6666666666665</v>
      </c>
      <c r="I24" s="13"/>
      <c r="J24" s="13"/>
      <c r="K24" s="13"/>
    </row>
    <row r="25" spans="1:11" x14ac:dyDescent="0.25">
      <c r="A25" s="12" t="s">
        <v>84</v>
      </c>
      <c r="B25" s="13"/>
      <c r="C25" s="13"/>
      <c r="D25" s="13"/>
      <c r="E25" s="13"/>
      <c r="G25" s="12" t="s">
        <v>84</v>
      </c>
      <c r="H25" s="13"/>
      <c r="I25" s="13"/>
      <c r="J25" s="13"/>
      <c r="K25" s="13"/>
    </row>
    <row r="26" spans="1:11" x14ac:dyDescent="0.25">
      <c r="A26" s="12" t="s">
        <v>85</v>
      </c>
      <c r="B26" s="13"/>
      <c r="C26" s="13"/>
      <c r="D26" s="13"/>
      <c r="E26" s="13"/>
      <c r="G26" s="12" t="s">
        <v>85</v>
      </c>
      <c r="H26" s="13"/>
      <c r="I26" s="13"/>
      <c r="J26" s="13"/>
      <c r="K26" s="13"/>
    </row>
    <row r="27" spans="1:11" x14ac:dyDescent="0.25">
      <c r="A27" s="12" t="s">
        <v>86</v>
      </c>
      <c r="B27" s="13"/>
      <c r="C27" s="13"/>
      <c r="D27" s="13"/>
      <c r="E27" s="13"/>
      <c r="G27" s="12" t="s">
        <v>86</v>
      </c>
      <c r="H27" s="13"/>
      <c r="I27" s="13"/>
      <c r="J27" s="13"/>
      <c r="K27" s="13"/>
    </row>
    <row r="28" spans="1:11" x14ac:dyDescent="0.25">
      <c r="A28" s="12" t="s">
        <v>87</v>
      </c>
      <c r="B28" s="13"/>
      <c r="C28" s="13"/>
      <c r="D28" s="13"/>
      <c r="E28" s="13"/>
      <c r="G28" s="12" t="s">
        <v>87</v>
      </c>
      <c r="H28" s="13"/>
      <c r="I28" s="13"/>
      <c r="J28" s="13"/>
      <c r="K28" s="13"/>
    </row>
    <row r="29" spans="1:11" x14ac:dyDescent="0.25">
      <c r="A29" s="12" t="s">
        <v>88</v>
      </c>
      <c r="B29" s="13"/>
      <c r="C29" s="13"/>
      <c r="D29" s="13"/>
      <c r="E29" s="13"/>
      <c r="G29" s="12" t="s">
        <v>88</v>
      </c>
      <c r="H29" s="13"/>
      <c r="I29" s="13"/>
      <c r="J29" s="13"/>
      <c r="K29" s="13"/>
    </row>
    <row r="30" spans="1:11" x14ac:dyDescent="0.25">
      <c r="A30" s="12" t="s">
        <v>89</v>
      </c>
      <c r="B30" s="13"/>
      <c r="C30" s="13"/>
      <c r="D30" s="13"/>
      <c r="E30" s="13"/>
      <c r="G30" s="12" t="s">
        <v>89</v>
      </c>
      <c r="H30" s="13"/>
      <c r="I30" s="13"/>
      <c r="J30" s="13"/>
      <c r="K30" s="13"/>
    </row>
    <row r="31" spans="1:11" x14ac:dyDescent="0.25">
      <c r="A31" s="12" t="s">
        <v>90</v>
      </c>
      <c r="B31" s="13"/>
      <c r="C31" s="13"/>
      <c r="D31" s="13"/>
      <c r="E31" s="13"/>
      <c r="G31" s="12" t="s">
        <v>90</v>
      </c>
      <c r="H31" s="13"/>
      <c r="I31" s="13"/>
      <c r="J31" s="13"/>
      <c r="K31" s="13"/>
    </row>
    <row r="32" spans="1:11"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f>AVERAGE(H21:H34)</f>
        <v>2025</v>
      </c>
      <c r="I35" s="16"/>
      <c r="J35" s="16"/>
      <c r="K35" s="16"/>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t="s">
        <v>195</v>
      </c>
      <c r="C40" s="13" t="s">
        <v>141</v>
      </c>
      <c r="D40" s="13" t="s">
        <v>196</v>
      </c>
      <c r="E40" s="13">
        <v>1732.32</v>
      </c>
    </row>
    <row r="41" spans="1:11" x14ac:dyDescent="0.25">
      <c r="A41" s="12" t="s">
        <v>103</v>
      </c>
      <c r="B41" s="13" t="s">
        <v>195</v>
      </c>
      <c r="C41" s="13" t="s">
        <v>141</v>
      </c>
      <c r="D41" s="13" t="s">
        <v>197</v>
      </c>
      <c r="E41" s="13">
        <v>1566</v>
      </c>
    </row>
    <row r="42" spans="1:11" x14ac:dyDescent="0.25">
      <c r="A42" s="12" t="s">
        <v>104</v>
      </c>
      <c r="B42" s="13" t="s">
        <v>195</v>
      </c>
      <c r="C42" s="13" t="s">
        <v>141</v>
      </c>
      <c r="D42" s="13" t="s">
        <v>198</v>
      </c>
      <c r="E42" s="13">
        <v>1396.44</v>
      </c>
    </row>
    <row r="43" spans="1:11" x14ac:dyDescent="0.25">
      <c r="A43" s="12" t="s">
        <v>105</v>
      </c>
      <c r="B43" s="13" t="s">
        <v>144</v>
      </c>
      <c r="C43" s="13" t="s">
        <v>141</v>
      </c>
      <c r="D43" s="13" t="s">
        <v>199</v>
      </c>
      <c r="E43" s="13">
        <v>324</v>
      </c>
    </row>
    <row r="44" spans="1:11" x14ac:dyDescent="0.25">
      <c r="A44" s="12" t="s">
        <v>106</v>
      </c>
      <c r="B44" s="13" t="s">
        <v>200</v>
      </c>
      <c r="C44" s="13" t="s">
        <v>141</v>
      </c>
      <c r="D44" s="13" t="s">
        <v>201</v>
      </c>
      <c r="E44" s="13">
        <v>167.4</v>
      </c>
    </row>
    <row r="45" spans="1:11" x14ac:dyDescent="0.25">
      <c r="A45" s="12" t="s">
        <v>107</v>
      </c>
      <c r="B45" s="13" t="s">
        <v>200</v>
      </c>
      <c r="C45" s="13" t="s">
        <v>141</v>
      </c>
      <c r="D45" s="13" t="s">
        <v>202</v>
      </c>
      <c r="E45" s="13">
        <v>291.60000000000002</v>
      </c>
    </row>
    <row r="46" spans="1:11" x14ac:dyDescent="0.25">
      <c r="A46" s="12" t="s">
        <v>108</v>
      </c>
      <c r="B46" s="13" t="s">
        <v>200</v>
      </c>
      <c r="C46" s="13" t="s">
        <v>141</v>
      </c>
      <c r="D46" s="13" t="s">
        <v>203</v>
      </c>
      <c r="E46" s="13">
        <v>410.4</v>
      </c>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AVERAGE(E40:E42)</f>
        <v>1564.92</v>
      </c>
    </row>
  </sheetData>
  <mergeCells count="5">
    <mergeCell ref="A1:E1"/>
    <mergeCell ref="G1:K1"/>
    <mergeCell ref="A19:E19"/>
    <mergeCell ref="G19:K19"/>
    <mergeCell ref="A38:E3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E55" sqref="E55"/>
    </sheetView>
  </sheetViews>
  <sheetFormatPr defaultRowHeight="15" x14ac:dyDescent="0.25"/>
  <cols>
    <col min="1" max="4" width="9.140625" style="9"/>
    <col min="5" max="5" width="10.5703125" style="9" bestFit="1" customWidth="1"/>
    <col min="6" max="7" width="9.140625" style="9"/>
    <col min="8" max="9" width="10.5703125" style="9" bestFit="1" customWidth="1"/>
    <col min="10" max="16384" width="9.140625" style="9"/>
  </cols>
  <sheetData>
    <row r="1" spans="1:11" ht="15.75" x14ac:dyDescent="0.25">
      <c r="A1" s="72" t="s">
        <v>74</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c r="C3" s="13"/>
      <c r="D3" s="13"/>
      <c r="E3" s="13"/>
      <c r="G3" s="12" t="s">
        <v>80</v>
      </c>
      <c r="H3" s="13"/>
      <c r="I3" s="13">
        <f>(4080*2)/3</f>
        <v>2720</v>
      </c>
      <c r="J3" s="13"/>
      <c r="K3" s="13"/>
    </row>
    <row r="4" spans="1:11" x14ac:dyDescent="0.25">
      <c r="A4" s="12" t="s">
        <v>81</v>
      </c>
      <c r="B4" s="13"/>
      <c r="C4" s="13"/>
      <c r="D4" s="13"/>
      <c r="E4" s="13"/>
      <c r="G4" s="12" t="s">
        <v>81</v>
      </c>
      <c r="H4" s="13"/>
      <c r="I4" s="13"/>
      <c r="J4" s="13"/>
      <c r="K4" s="13"/>
    </row>
    <row r="5" spans="1:11" x14ac:dyDescent="0.25">
      <c r="A5" s="12" t="s">
        <v>82</v>
      </c>
      <c r="B5" s="13"/>
      <c r="C5" s="13"/>
      <c r="D5" s="13"/>
      <c r="E5" s="13"/>
      <c r="G5" s="12" t="s">
        <v>82</v>
      </c>
      <c r="H5" s="13"/>
      <c r="I5" s="13"/>
      <c r="J5" s="13"/>
      <c r="K5" s="13"/>
    </row>
    <row r="6" spans="1:11" x14ac:dyDescent="0.25">
      <c r="A6" s="12" t="s">
        <v>83</v>
      </c>
      <c r="B6" s="13"/>
      <c r="C6" s="13"/>
      <c r="D6" s="13"/>
      <c r="E6" s="13"/>
      <c r="G6" s="12" t="s">
        <v>83</v>
      </c>
      <c r="H6" s="13"/>
      <c r="I6" s="13"/>
      <c r="J6" s="13"/>
      <c r="K6" s="13"/>
    </row>
    <row r="7" spans="1:11" x14ac:dyDescent="0.25">
      <c r="A7" s="12" t="s">
        <v>84</v>
      </c>
      <c r="B7" s="13"/>
      <c r="C7" s="13"/>
      <c r="D7" s="13"/>
      <c r="E7" s="13"/>
      <c r="G7" s="12" t="s">
        <v>84</v>
      </c>
      <c r="H7" s="13"/>
      <c r="I7" s="13"/>
      <c r="J7" s="13"/>
      <c r="K7" s="13"/>
    </row>
    <row r="8" spans="1:11" x14ac:dyDescent="0.25">
      <c r="A8" s="12" t="s">
        <v>85</v>
      </c>
      <c r="B8" s="13"/>
      <c r="C8" s="13"/>
      <c r="D8" s="13"/>
      <c r="E8" s="13"/>
      <c r="G8" s="12" t="s">
        <v>85</v>
      </c>
      <c r="H8" s="13"/>
      <c r="I8" s="13"/>
      <c r="J8" s="13"/>
      <c r="K8" s="13"/>
    </row>
    <row r="9" spans="1:11" x14ac:dyDescent="0.25">
      <c r="A9" s="12" t="s">
        <v>86</v>
      </c>
      <c r="B9" s="13"/>
      <c r="C9" s="13"/>
      <c r="D9" s="13"/>
      <c r="E9" s="13"/>
      <c r="G9" s="12" t="s">
        <v>86</v>
      </c>
      <c r="H9" s="13"/>
      <c r="I9" s="13"/>
      <c r="J9" s="13"/>
      <c r="K9" s="13"/>
    </row>
    <row r="10" spans="1:11" x14ac:dyDescent="0.25">
      <c r="A10" s="12" t="s">
        <v>87</v>
      </c>
      <c r="B10" s="13"/>
      <c r="C10" s="13"/>
      <c r="D10" s="13"/>
      <c r="E10" s="13"/>
      <c r="G10" s="12" t="s">
        <v>87</v>
      </c>
      <c r="H10" s="13"/>
      <c r="I10" s="13"/>
      <c r="J10" s="13"/>
      <c r="K10" s="13"/>
    </row>
    <row r="11" spans="1:11" x14ac:dyDescent="0.25">
      <c r="A11" s="12" t="s">
        <v>88</v>
      </c>
      <c r="B11" s="13"/>
      <c r="C11" s="13"/>
      <c r="D11" s="13"/>
      <c r="E11" s="13"/>
      <c r="G11" s="12" t="s">
        <v>88</v>
      </c>
      <c r="H11" s="13"/>
      <c r="I11" s="13"/>
      <c r="J11" s="13"/>
      <c r="K11" s="13"/>
    </row>
    <row r="12" spans="1:11" x14ac:dyDescent="0.25">
      <c r="A12" s="12" t="s">
        <v>89</v>
      </c>
      <c r="B12" s="13"/>
      <c r="C12" s="13"/>
      <c r="D12" s="13"/>
      <c r="E12" s="13"/>
      <c r="G12" s="12" t="s">
        <v>89</v>
      </c>
      <c r="H12" s="13"/>
      <c r="I12" s="13"/>
      <c r="J12" s="13"/>
      <c r="K12" s="13"/>
    </row>
    <row r="13" spans="1:11" x14ac:dyDescent="0.25">
      <c r="A13" s="12" t="s">
        <v>90</v>
      </c>
      <c r="B13" s="13"/>
      <c r="C13" s="13"/>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1" ht="15.75" thickBot="1" x14ac:dyDescent="0.3">
      <c r="A17" s="11" t="s">
        <v>94</v>
      </c>
      <c r="B17" s="16"/>
      <c r="C17" s="16"/>
      <c r="D17" s="16"/>
      <c r="E17" s="16"/>
      <c r="G17" s="11" t="s">
        <v>94</v>
      </c>
      <c r="H17" s="16"/>
      <c r="I17" s="16">
        <f>AVERAGE(I3:I16)</f>
        <v>2720</v>
      </c>
      <c r="J17" s="16"/>
      <c r="K17" s="16"/>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80</v>
      </c>
      <c r="H21" s="13"/>
      <c r="I21" s="13">
        <f>(5796*2)/3</f>
        <v>3864</v>
      </c>
      <c r="J21" s="13"/>
      <c r="K21" s="13"/>
    </row>
    <row r="22" spans="1:11" x14ac:dyDescent="0.25">
      <c r="A22" s="12" t="s">
        <v>81</v>
      </c>
      <c r="B22" s="13"/>
      <c r="C22" s="13"/>
      <c r="D22" s="13"/>
      <c r="E22" s="13"/>
      <c r="G22" s="12" t="s">
        <v>81</v>
      </c>
      <c r="H22" s="13"/>
      <c r="I22" s="13">
        <f>(5184*2)/3</f>
        <v>3456</v>
      </c>
      <c r="J22" s="13"/>
      <c r="K22" s="13"/>
    </row>
    <row r="23" spans="1:11" x14ac:dyDescent="0.25">
      <c r="A23" s="12" t="s">
        <v>82</v>
      </c>
      <c r="B23" s="13"/>
      <c r="C23" s="13"/>
      <c r="D23" s="13"/>
      <c r="E23" s="13"/>
      <c r="G23" s="12" t="s">
        <v>82</v>
      </c>
      <c r="H23" s="13">
        <f>(5482*2)/3</f>
        <v>3654.6666666666665</v>
      </c>
      <c r="I23" s="13"/>
      <c r="J23" s="13"/>
      <c r="K23" s="13"/>
    </row>
    <row r="24" spans="1:11" x14ac:dyDescent="0.25">
      <c r="A24" s="12" t="s">
        <v>83</v>
      </c>
      <c r="B24" s="13"/>
      <c r="C24" s="13"/>
      <c r="D24" s="13"/>
      <c r="E24" s="13"/>
      <c r="G24" s="12" t="s">
        <v>83</v>
      </c>
      <c r="H24" s="13"/>
      <c r="I24" s="13">
        <f>(5076*2)/3</f>
        <v>3384</v>
      </c>
      <c r="J24" s="13"/>
      <c r="K24" s="13"/>
    </row>
    <row r="25" spans="1:11" x14ac:dyDescent="0.25">
      <c r="A25" s="12" t="s">
        <v>84</v>
      </c>
      <c r="B25" s="13"/>
      <c r="C25" s="13"/>
      <c r="D25" s="13"/>
      <c r="E25" s="13"/>
      <c r="G25" s="12" t="s">
        <v>84</v>
      </c>
      <c r="H25" s="13"/>
      <c r="I25" s="13">
        <f>(5076*2)/3</f>
        <v>3384</v>
      </c>
      <c r="J25" s="13"/>
      <c r="K25" s="13"/>
    </row>
    <row r="26" spans="1:11" x14ac:dyDescent="0.25">
      <c r="A26" s="12" t="s">
        <v>85</v>
      </c>
      <c r="B26" s="13"/>
      <c r="C26" s="13"/>
      <c r="D26" s="13"/>
      <c r="E26" s="13"/>
      <c r="G26" s="12" t="s">
        <v>305</v>
      </c>
      <c r="H26" s="13"/>
      <c r="I26" s="13">
        <f>(4551*2)/3</f>
        <v>3034</v>
      </c>
      <c r="J26" s="13"/>
      <c r="K26" s="13"/>
    </row>
    <row r="27" spans="1:11" x14ac:dyDescent="0.25">
      <c r="A27" s="12" t="s">
        <v>86</v>
      </c>
      <c r="B27" s="13"/>
      <c r="C27" s="13"/>
      <c r="D27" s="13"/>
      <c r="E27" s="13"/>
      <c r="G27" s="12" t="s">
        <v>86</v>
      </c>
      <c r="H27" s="13"/>
      <c r="I27" s="13">
        <f>(4946*2)/3</f>
        <v>3297.3333333333335</v>
      </c>
      <c r="J27" s="13"/>
      <c r="K27" s="13"/>
    </row>
    <row r="28" spans="1:11" x14ac:dyDescent="0.25">
      <c r="A28" s="12" t="s">
        <v>87</v>
      </c>
      <c r="B28" s="13"/>
      <c r="C28" s="13"/>
      <c r="D28" s="13"/>
      <c r="E28" s="13"/>
      <c r="G28" s="12" t="s">
        <v>87</v>
      </c>
      <c r="H28" s="13"/>
      <c r="I28" s="13">
        <f>(5206*2)/3</f>
        <v>3470.6666666666665</v>
      </c>
      <c r="J28" s="13"/>
      <c r="K28" s="13"/>
    </row>
    <row r="29" spans="1:11" x14ac:dyDescent="0.25">
      <c r="A29" s="12" t="s">
        <v>88</v>
      </c>
      <c r="B29" s="13"/>
      <c r="C29" s="13"/>
      <c r="D29" s="13"/>
      <c r="E29" s="13"/>
      <c r="G29" s="12" t="s">
        <v>88</v>
      </c>
      <c r="H29" s="13"/>
      <c r="I29" s="13"/>
      <c r="J29" s="13"/>
      <c r="K29" s="13"/>
    </row>
    <row r="30" spans="1:11" x14ac:dyDescent="0.25">
      <c r="A30" s="12" t="s">
        <v>89</v>
      </c>
      <c r="B30" s="13"/>
      <c r="C30" s="13"/>
      <c r="D30" s="13"/>
      <c r="E30" s="13"/>
      <c r="G30" s="12" t="s">
        <v>89</v>
      </c>
      <c r="H30" s="13"/>
      <c r="I30" s="13"/>
      <c r="J30" s="13"/>
      <c r="K30" s="13"/>
    </row>
    <row r="31" spans="1:11" x14ac:dyDescent="0.25">
      <c r="A31" s="12" t="s">
        <v>90</v>
      </c>
      <c r="B31" s="13"/>
      <c r="C31" s="13"/>
      <c r="D31" s="13"/>
      <c r="E31" s="13"/>
      <c r="G31" s="12" t="s">
        <v>90</v>
      </c>
      <c r="H31" s="13"/>
      <c r="I31" s="13"/>
      <c r="J31" s="13"/>
      <c r="K31" s="13"/>
    </row>
    <row r="32" spans="1:11"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f>AVERAGE(H21:H34)</f>
        <v>3654.6666666666665</v>
      </c>
      <c r="I35" s="16">
        <f>AVERAGE(I21:I34)</f>
        <v>3412.8571428571427</v>
      </c>
      <c r="J35" s="16"/>
      <c r="K35" s="16"/>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t="s">
        <v>144</v>
      </c>
      <c r="C40" s="13" t="s">
        <v>141</v>
      </c>
      <c r="D40" s="13" t="s">
        <v>310</v>
      </c>
      <c r="E40" s="13">
        <f>(1775*2)/3</f>
        <v>1183.3333333333333</v>
      </c>
    </row>
    <row r="41" spans="1:11" x14ac:dyDescent="0.25">
      <c r="A41" s="12" t="s">
        <v>103</v>
      </c>
      <c r="B41" s="13" t="s">
        <v>144</v>
      </c>
      <c r="C41" s="13" t="s">
        <v>141</v>
      </c>
      <c r="D41" s="13" t="s">
        <v>311</v>
      </c>
      <c r="E41" s="13">
        <f>(1567*2)/3</f>
        <v>1044.6666666666667</v>
      </c>
    </row>
    <row r="42" spans="1:11" x14ac:dyDescent="0.25">
      <c r="A42" s="12" t="s">
        <v>104</v>
      </c>
      <c r="B42" s="13" t="s">
        <v>144</v>
      </c>
      <c r="C42" s="13" t="s">
        <v>141</v>
      </c>
      <c r="D42" s="13" t="s">
        <v>312</v>
      </c>
      <c r="E42" s="13">
        <f>(784*2)/3</f>
        <v>522.66666666666663</v>
      </c>
    </row>
    <row r="43" spans="1:11" x14ac:dyDescent="0.25">
      <c r="A43" s="12" t="s">
        <v>105</v>
      </c>
      <c r="B43" s="13" t="s">
        <v>144</v>
      </c>
      <c r="C43" s="13" t="s">
        <v>141</v>
      </c>
      <c r="D43" s="13" t="s">
        <v>199</v>
      </c>
      <c r="E43" s="13">
        <f>(300*2)/3</f>
        <v>200</v>
      </c>
    </row>
    <row r="44" spans="1:11" x14ac:dyDescent="0.25">
      <c r="A44" s="12" t="s">
        <v>106</v>
      </c>
      <c r="B44" s="13" t="s">
        <v>144</v>
      </c>
      <c r="C44" s="13" t="s">
        <v>141</v>
      </c>
      <c r="D44" s="13" t="s">
        <v>313</v>
      </c>
      <c r="E44" s="13">
        <f>(100*2)/3</f>
        <v>66.666666666666671</v>
      </c>
    </row>
    <row r="45" spans="1:11" x14ac:dyDescent="0.25">
      <c r="A45" s="12" t="s">
        <v>107</v>
      </c>
      <c r="B45" s="13"/>
      <c r="C45" s="13"/>
      <c r="D45" s="13"/>
      <c r="E45" s="13"/>
    </row>
    <row r="46" spans="1:11" x14ac:dyDescent="0.25">
      <c r="A46" s="12" t="s">
        <v>108</v>
      </c>
      <c r="B46" s="13"/>
      <c r="C46" s="13"/>
      <c r="D46" s="13"/>
      <c r="E46" s="13"/>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AVERAGE(E40:E41)</f>
        <v>1114</v>
      </c>
    </row>
  </sheetData>
  <mergeCells count="5">
    <mergeCell ref="A1:E1"/>
    <mergeCell ref="G1:K1"/>
    <mergeCell ref="A19:E19"/>
    <mergeCell ref="G19:K19"/>
    <mergeCell ref="A38:E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6"/>
  <sheetViews>
    <sheetView tabSelected="1" zoomScale="90" zoomScaleNormal="90" workbookViewId="0">
      <selection activeCell="M65" sqref="M65"/>
    </sheetView>
  </sheetViews>
  <sheetFormatPr defaultRowHeight="15" x14ac:dyDescent="0.25"/>
  <cols>
    <col min="1" max="1" width="38.7109375" customWidth="1"/>
    <col min="2" max="2" width="11.140625" bestFit="1" customWidth="1"/>
    <col min="3" max="3" width="14.85546875" customWidth="1"/>
    <col min="4" max="4" width="14.140625" customWidth="1"/>
    <col min="5" max="5" width="14.5703125" customWidth="1"/>
    <col min="6" max="6" width="13.7109375" customWidth="1"/>
    <col min="7" max="7" width="13" customWidth="1"/>
    <col min="8" max="8" width="13.42578125" customWidth="1"/>
    <col min="9" max="9" width="14.140625" customWidth="1"/>
    <col min="10" max="10" width="13.42578125" customWidth="1"/>
    <col min="11" max="11" width="20.42578125" customWidth="1"/>
    <col min="12" max="12" width="19.5703125" customWidth="1"/>
    <col min="13" max="13" width="26" bestFit="1" customWidth="1"/>
    <col min="14" max="14" width="30.7109375" customWidth="1"/>
    <col min="15" max="15" width="9.85546875" customWidth="1"/>
  </cols>
  <sheetData>
    <row r="1" spans="1:15" ht="12" customHeight="1" x14ac:dyDescent="0.25">
      <c r="A1" s="27" t="s">
        <v>73</v>
      </c>
    </row>
    <row r="2" spans="1:15" ht="12" customHeight="1" x14ac:dyDescent="0.25">
      <c r="A2" s="27" t="s">
        <v>279</v>
      </c>
      <c r="B2" s="27"/>
      <c r="C2" s="27"/>
      <c r="D2" s="27"/>
      <c r="E2" s="27"/>
      <c r="F2" s="27"/>
      <c r="G2" s="27"/>
      <c r="H2" s="27"/>
      <c r="I2" s="27"/>
      <c r="J2" s="27"/>
      <c r="K2" s="27"/>
      <c r="L2" s="27"/>
      <c r="M2" s="27"/>
      <c r="N2" s="27"/>
      <c r="O2" s="3"/>
    </row>
    <row r="3" spans="1:15" ht="12" customHeight="1" x14ac:dyDescent="0.25">
      <c r="A3" s="27" t="s">
        <v>314</v>
      </c>
      <c r="B3" s="27"/>
      <c r="C3" s="27"/>
      <c r="D3" s="27"/>
      <c r="E3" s="27"/>
      <c r="F3" s="27"/>
      <c r="G3" s="27"/>
      <c r="H3" s="27"/>
      <c r="I3" s="27"/>
      <c r="J3" s="27"/>
      <c r="K3" s="27"/>
      <c r="L3" s="27"/>
      <c r="M3" s="27"/>
      <c r="N3" s="27"/>
      <c r="O3" s="3"/>
    </row>
    <row r="4" spans="1:15" ht="12" customHeight="1" x14ac:dyDescent="0.25">
      <c r="A4" s="27" t="s">
        <v>315</v>
      </c>
      <c r="B4" s="27"/>
      <c r="C4" s="27"/>
      <c r="D4" s="27"/>
      <c r="E4" s="27"/>
      <c r="F4" s="27"/>
      <c r="G4" s="27"/>
      <c r="H4" s="27"/>
      <c r="I4" s="27"/>
      <c r="J4" s="27"/>
      <c r="K4" s="27"/>
      <c r="L4" s="27"/>
      <c r="M4" s="27"/>
      <c r="N4" s="27"/>
      <c r="O4" s="3"/>
    </row>
    <row r="5" spans="1:15" ht="12" customHeight="1" x14ac:dyDescent="0.25">
      <c r="A5" s="28" t="s">
        <v>0</v>
      </c>
      <c r="B5" s="28" t="s">
        <v>1</v>
      </c>
      <c r="C5" s="28" t="s">
        <v>30</v>
      </c>
      <c r="D5" s="28" t="s">
        <v>31</v>
      </c>
      <c r="E5" s="28" t="s">
        <v>32</v>
      </c>
      <c r="F5" s="28" t="s">
        <v>33</v>
      </c>
      <c r="G5" s="28" t="s">
        <v>34</v>
      </c>
      <c r="H5" s="28" t="s">
        <v>35</v>
      </c>
      <c r="I5" s="28" t="s">
        <v>36</v>
      </c>
      <c r="J5" s="28" t="s">
        <v>37</v>
      </c>
      <c r="K5" s="28" t="s">
        <v>38</v>
      </c>
      <c r="L5" s="28" t="s">
        <v>39</v>
      </c>
      <c r="M5" s="28" t="s">
        <v>291</v>
      </c>
      <c r="N5" s="43" t="s">
        <v>292</v>
      </c>
      <c r="O5" s="3"/>
    </row>
    <row r="6" spans="1:15" ht="12" customHeight="1" x14ac:dyDescent="0.25">
      <c r="A6" s="27" t="s">
        <v>15</v>
      </c>
      <c r="B6" s="29" t="s">
        <v>16</v>
      </c>
      <c r="C6" s="30">
        <f>CWU!B17</f>
        <v>2108.75</v>
      </c>
      <c r="D6" s="30">
        <f>CWU!C17</f>
        <v>1763.3333333333333</v>
      </c>
      <c r="E6" s="30"/>
      <c r="F6" s="30">
        <f>CWU!H17</f>
        <v>2475.6666666666665</v>
      </c>
      <c r="G6" s="30">
        <f>CWU!I17</f>
        <v>2222.5</v>
      </c>
      <c r="H6" s="30">
        <f>CWU!J17</f>
        <v>1835.1666666666667</v>
      </c>
      <c r="I6" s="30"/>
      <c r="J6" s="30"/>
      <c r="K6" s="30">
        <f>AVERAGE(C6:J6)</f>
        <v>2081.083333333333</v>
      </c>
      <c r="L6" s="30">
        <f>K6+SumaryMP1516!C4</f>
        <v>3819.083333333333</v>
      </c>
      <c r="M6" s="58">
        <f t="shared" ref="M6:M13" si="0">L6/$L$59</f>
        <v>0.84869429718890743</v>
      </c>
      <c r="N6" s="57">
        <f t="shared" ref="N6:N13" si="1">K6/$K$59</f>
        <v>0.68894516405130235</v>
      </c>
      <c r="O6" s="3"/>
    </row>
    <row r="7" spans="1:15" ht="12" customHeight="1" x14ac:dyDescent="0.25">
      <c r="A7" s="27" t="s">
        <v>17</v>
      </c>
      <c r="B7" s="29" t="s">
        <v>16</v>
      </c>
      <c r="C7" s="30">
        <f>EWU!H42</f>
        <v>747.22222222222217</v>
      </c>
      <c r="D7" s="30">
        <f>EWU!I42</f>
        <v>701.94444444444446</v>
      </c>
      <c r="E7" s="30"/>
      <c r="F7" s="30"/>
      <c r="G7" s="30"/>
      <c r="H7" s="30"/>
      <c r="I7" s="30"/>
      <c r="J7" s="30"/>
      <c r="K7" s="30">
        <f t="shared" ref="K7:K52" si="2">AVERAGE(C7:J7)</f>
        <v>724.58333333333326</v>
      </c>
      <c r="L7" s="30">
        <f>K7+SumaryMP1516!C5</f>
        <v>2216.25</v>
      </c>
      <c r="M7" s="58">
        <f t="shared" si="0"/>
        <v>0.49250528778151381</v>
      </c>
      <c r="N7" s="57">
        <f t="shared" si="1"/>
        <v>0.23987419218460232</v>
      </c>
      <c r="O7" s="3"/>
    </row>
    <row r="8" spans="1:15" ht="12" customHeight="1" x14ac:dyDescent="0.25">
      <c r="A8" s="27" t="s">
        <v>18</v>
      </c>
      <c r="B8" s="29" t="s">
        <v>16</v>
      </c>
      <c r="C8" s="30"/>
      <c r="D8" s="30"/>
      <c r="E8" s="30"/>
      <c r="F8" s="30">
        <f>ESC!H17</f>
        <v>1668.3333333333333</v>
      </c>
      <c r="G8" s="30">
        <f>ESC!I17</f>
        <v>1523.3333333333333</v>
      </c>
      <c r="H8" s="30"/>
      <c r="I8" s="30">
        <f>ESC!H35</f>
        <v>2056.6666666666665</v>
      </c>
      <c r="J8" s="30"/>
      <c r="K8" s="30">
        <f t="shared" si="2"/>
        <v>1749.4444444444443</v>
      </c>
      <c r="L8" s="30">
        <f>K8+SumaryMP1516!C6</f>
        <v>3013.7111111111108</v>
      </c>
      <c r="M8" s="58">
        <f t="shared" si="0"/>
        <v>0.66972077070191693</v>
      </c>
      <c r="N8" s="57">
        <f t="shared" si="1"/>
        <v>0.57915570725651733</v>
      </c>
      <c r="O8" s="3"/>
    </row>
    <row r="9" spans="1:15" ht="12" customHeight="1" x14ac:dyDescent="0.25">
      <c r="A9" s="27" t="s">
        <v>19</v>
      </c>
      <c r="B9" s="29" t="s">
        <v>16</v>
      </c>
      <c r="C9" s="30">
        <f>SMU!B17</f>
        <v>3373.3333333333335</v>
      </c>
      <c r="D9" s="30">
        <f>SMU!C17</f>
        <v>2993.3333333333335</v>
      </c>
      <c r="E9" s="30"/>
      <c r="F9" s="30">
        <f>SMU!H17</f>
        <v>4085</v>
      </c>
      <c r="G9" s="30">
        <f>SMU!I17</f>
        <v>3526.6666666666665</v>
      </c>
      <c r="H9" s="30"/>
      <c r="I9" s="30">
        <f>SMU!H35</f>
        <v>4493.333333333333</v>
      </c>
      <c r="J9" s="30"/>
      <c r="K9" s="30">
        <f t="shared" si="2"/>
        <v>3694.3333333333335</v>
      </c>
      <c r="L9" s="30">
        <f>K9+SumaryMP1516!C7</f>
        <v>5426.5555555555557</v>
      </c>
      <c r="M9" s="58">
        <f t="shared" si="0"/>
        <v>1.2059141818618213</v>
      </c>
      <c r="N9" s="57">
        <f t="shared" si="1"/>
        <v>1.2230135351268305</v>
      </c>
      <c r="O9" s="3"/>
    </row>
    <row r="10" spans="1:15" ht="12" customHeight="1" x14ac:dyDescent="0.25">
      <c r="A10" s="27" t="s">
        <v>20</v>
      </c>
      <c r="B10" s="29" t="s">
        <v>16</v>
      </c>
      <c r="C10" s="30"/>
      <c r="D10" s="30">
        <f>SPU!C17</f>
        <v>1900</v>
      </c>
      <c r="E10" s="30">
        <f>SPU!D17</f>
        <v>1700</v>
      </c>
      <c r="F10" s="30">
        <f>SPU!H17</f>
        <v>2653.5</v>
      </c>
      <c r="G10" s="30">
        <f>SPU!I17</f>
        <v>2326.5</v>
      </c>
      <c r="H10" s="30">
        <f>SPU!J17</f>
        <v>2081</v>
      </c>
      <c r="I10" s="30">
        <f>SPU!H35</f>
        <v>2323.75</v>
      </c>
      <c r="J10" s="30">
        <f>SPU!I35</f>
        <v>2319.3333333333335</v>
      </c>
      <c r="K10" s="30">
        <f t="shared" si="2"/>
        <v>2186.2976190476193</v>
      </c>
      <c r="L10" s="30">
        <f>K10+SumaryMP1516!C8</f>
        <v>3623.7976190476193</v>
      </c>
      <c r="M10" s="58">
        <f t="shared" si="0"/>
        <v>0.80529700585719677</v>
      </c>
      <c r="N10" s="57">
        <f t="shared" si="1"/>
        <v>0.72377648107303116</v>
      </c>
      <c r="O10" s="3"/>
    </row>
    <row r="11" spans="1:15" ht="12" customHeight="1" x14ac:dyDescent="0.25">
      <c r="A11" s="27" t="s">
        <v>21</v>
      </c>
      <c r="B11" s="29" t="s">
        <v>16</v>
      </c>
      <c r="C11" s="30">
        <f>UPS!B17</f>
        <v>2520</v>
      </c>
      <c r="D11" s="30">
        <f>UPS!C17</f>
        <v>2100</v>
      </c>
      <c r="E11" s="30">
        <f>UPS!D17</f>
        <v>2100</v>
      </c>
      <c r="F11" s="30"/>
      <c r="G11" s="30"/>
      <c r="H11" s="30"/>
      <c r="I11" s="30">
        <f>UPS!H35</f>
        <v>2520</v>
      </c>
      <c r="J11" s="30">
        <f>UPS!I35</f>
        <v>2310</v>
      </c>
      <c r="K11" s="30">
        <f t="shared" si="2"/>
        <v>2310</v>
      </c>
      <c r="L11" s="30">
        <f>K11+SumaryMP1516!C9</f>
        <v>4085</v>
      </c>
      <c r="M11" s="58">
        <f t="shared" si="0"/>
        <v>0.90778752423575138</v>
      </c>
      <c r="N11" s="57">
        <f t="shared" si="1"/>
        <v>0.76472830446891049</v>
      </c>
      <c r="O11" s="3"/>
    </row>
    <row r="12" spans="1:15" ht="12" customHeight="1" x14ac:dyDescent="0.25">
      <c r="A12" s="27" t="s">
        <v>22</v>
      </c>
      <c r="B12" s="29" t="s">
        <v>16</v>
      </c>
      <c r="C12" s="30">
        <f>'UW-S'!B17</f>
        <v>3040.909090909091</v>
      </c>
      <c r="D12" s="30">
        <f>'UW-S'!C17</f>
        <v>2496.4</v>
      </c>
      <c r="E12" s="30">
        <f>'UW-S'!D17</f>
        <v>2309</v>
      </c>
      <c r="F12" s="30"/>
      <c r="G12" s="30"/>
      <c r="H12" s="30"/>
      <c r="I12" s="30">
        <f>'UW-S'!H37</f>
        <v>2981.3413698630134</v>
      </c>
      <c r="J12" s="30">
        <f>'UW-S'!I37</f>
        <v>2876</v>
      </c>
      <c r="K12" s="30">
        <f t="shared" si="2"/>
        <v>2740.7300921544211</v>
      </c>
      <c r="L12" s="30">
        <f>K12+SumaryMP1516!C10</f>
        <v>3889.4443778687069</v>
      </c>
      <c r="M12" s="58">
        <f t="shared" si="0"/>
        <v>0.86433025273882391</v>
      </c>
      <c r="N12" s="57">
        <f t="shared" si="1"/>
        <v>0.9073220244070006</v>
      </c>
      <c r="O12" s="3"/>
    </row>
    <row r="13" spans="1:15" ht="12" customHeight="1" x14ac:dyDescent="0.25">
      <c r="A13" s="27" t="s">
        <v>23</v>
      </c>
      <c r="B13" s="29" t="s">
        <v>16</v>
      </c>
      <c r="C13" s="30"/>
      <c r="D13" s="30"/>
      <c r="E13" s="30"/>
      <c r="F13" s="30"/>
      <c r="G13" s="30"/>
      <c r="H13" s="30"/>
      <c r="I13" s="30"/>
      <c r="J13" s="30">
        <f>'UW-T'!I35</f>
        <v>2560</v>
      </c>
      <c r="K13" s="30">
        <f t="shared" si="2"/>
        <v>2560</v>
      </c>
      <c r="L13" s="30">
        <f>K13+281.2</f>
        <v>2841.2</v>
      </c>
      <c r="M13" s="58">
        <f t="shared" si="0"/>
        <v>0.63138455663613624</v>
      </c>
      <c r="N13" s="57">
        <f t="shared" si="1"/>
        <v>0.84749110798286187</v>
      </c>
      <c r="O13" s="3"/>
    </row>
    <row r="14" spans="1:15" ht="12" customHeight="1" x14ac:dyDescent="0.25">
      <c r="A14" s="27" t="s">
        <v>26</v>
      </c>
      <c r="B14" s="29" t="s">
        <v>16</v>
      </c>
      <c r="C14" s="30">
        <f>WSU!B17</f>
        <v>2472.363636363636</v>
      </c>
      <c r="D14" s="30">
        <f>WSU!C17</f>
        <v>2293</v>
      </c>
      <c r="E14" s="30"/>
      <c r="F14" s="30"/>
      <c r="G14" s="30"/>
      <c r="H14" s="30"/>
      <c r="I14" s="30">
        <f>WSU!H35</f>
        <v>1188.3333333333333</v>
      </c>
      <c r="J14" s="30"/>
      <c r="K14" s="30">
        <f t="shared" si="2"/>
        <v>1984.5656565656564</v>
      </c>
      <c r="L14" s="30">
        <f>K14+SumaryMP1516!C12</f>
        <v>4008.5656565656564</v>
      </c>
      <c r="M14" s="58">
        <f t="shared" ref="M14:M21" si="3">L14/$L$59</f>
        <v>0.89080193221791826</v>
      </c>
      <c r="N14" s="57">
        <f t="shared" ref="N14:N21" si="4">K14/$K$59</f>
        <v>0.65699286997951711</v>
      </c>
      <c r="O14" s="3"/>
    </row>
    <row r="15" spans="1:15" ht="12" customHeight="1" x14ac:dyDescent="0.25">
      <c r="A15" s="27" t="s">
        <v>11</v>
      </c>
      <c r="B15" s="31" t="s">
        <v>12</v>
      </c>
      <c r="C15" s="30">
        <f>WWU!B17</f>
        <v>2524.3333333333335</v>
      </c>
      <c r="D15" s="30">
        <f>WWU!C17</f>
        <v>2170.6666666666665</v>
      </c>
      <c r="E15" s="30">
        <f>WWU!D17</f>
        <v>1740</v>
      </c>
      <c r="F15" s="30">
        <f>WWU!H17</f>
        <v>2728.3333333333335</v>
      </c>
      <c r="G15" s="30"/>
      <c r="H15" s="30"/>
      <c r="I15" s="30">
        <f>WWU!H35</f>
        <v>3278.5</v>
      </c>
      <c r="J15" s="30">
        <f>WWU!I35</f>
        <v>1094</v>
      </c>
      <c r="K15" s="30">
        <f t="shared" si="2"/>
        <v>2255.9722222222222</v>
      </c>
      <c r="L15" s="30">
        <f>K15+SumaryMP1516!C21</f>
        <v>3338.6388888888887</v>
      </c>
      <c r="M15" s="58">
        <f t="shared" si="3"/>
        <v>0.74192771879110009</v>
      </c>
      <c r="N15" s="57">
        <f t="shared" si="4"/>
        <v>0.74684234304283992</v>
      </c>
      <c r="O15" s="3"/>
    </row>
    <row r="16" spans="1:15" ht="12" customHeight="1" x14ac:dyDescent="0.25">
      <c r="A16" s="27" t="s">
        <v>13</v>
      </c>
      <c r="B16" s="31" t="s">
        <v>12</v>
      </c>
      <c r="C16" s="30">
        <f>GU!B17</f>
        <v>2055.833333333333</v>
      </c>
      <c r="D16" s="30">
        <f>GU!C17</f>
        <v>1766.1111111111111</v>
      </c>
      <c r="E16" s="30"/>
      <c r="F16" s="30">
        <f>GU!H17</f>
        <v>2200</v>
      </c>
      <c r="G16" s="30"/>
      <c r="H16" s="30"/>
      <c r="I16" s="30">
        <f>GU!H35</f>
        <v>2185</v>
      </c>
      <c r="J16" s="30"/>
      <c r="K16" s="30">
        <f t="shared" si="2"/>
        <v>2051.7361111111113</v>
      </c>
      <c r="L16" s="30">
        <f>K16+SumaryMP1516!C22</f>
        <v>3757.0694444444443</v>
      </c>
      <c r="M16" s="58">
        <f t="shared" si="3"/>
        <v>0.8349132850315818</v>
      </c>
      <c r="N16" s="57">
        <f t="shared" si="4"/>
        <v>0.67922973050547031</v>
      </c>
      <c r="O16" s="3"/>
    </row>
    <row r="17" spans="1:15" ht="12" customHeight="1" x14ac:dyDescent="0.25">
      <c r="A17" s="27" t="s">
        <v>14</v>
      </c>
      <c r="B17" s="31" t="s">
        <v>12</v>
      </c>
      <c r="C17" s="30">
        <f>SU!B17</f>
        <v>3203.5</v>
      </c>
      <c r="D17" s="30">
        <f>SU!C17</f>
        <v>2348.3333333333335</v>
      </c>
      <c r="E17" s="30">
        <f>SU!D17</f>
        <v>1846.5</v>
      </c>
      <c r="F17" s="30"/>
      <c r="G17" s="30"/>
      <c r="H17" s="30"/>
      <c r="I17" s="30">
        <f>SU!H35</f>
        <v>3693.4285714285716</v>
      </c>
      <c r="J17" s="30">
        <f>SU!I35</f>
        <v>2969</v>
      </c>
      <c r="K17" s="30">
        <f t="shared" si="2"/>
        <v>2812.152380952381</v>
      </c>
      <c r="L17" s="30">
        <f>K17 + SumaryMP1516!C23</f>
        <v>4445.1523809523806</v>
      </c>
      <c r="M17" s="58">
        <f t="shared" si="3"/>
        <v>0.9878222459621584</v>
      </c>
      <c r="N17" s="57">
        <f t="shared" si="4"/>
        <v>0.93096645982420956</v>
      </c>
      <c r="O17" s="3"/>
    </row>
    <row r="18" spans="1:15" ht="12" customHeight="1" x14ac:dyDescent="0.25">
      <c r="A18" s="27" t="s">
        <v>2</v>
      </c>
      <c r="B18" s="32" t="s">
        <v>3</v>
      </c>
      <c r="C18" s="30">
        <f>CSMB!B17</f>
        <v>3122.6666666666665</v>
      </c>
      <c r="D18" s="30">
        <f>CSMB!C17</f>
        <v>2314</v>
      </c>
      <c r="E18" s="30">
        <f>CSMB!D17</f>
        <v>2030</v>
      </c>
      <c r="F18" s="30"/>
      <c r="G18" s="30"/>
      <c r="H18" s="30"/>
      <c r="I18" s="30">
        <f>CSMB!H35</f>
        <v>2926.5555555555561</v>
      </c>
      <c r="J18" s="30">
        <f>CSMB!I35</f>
        <v>1575</v>
      </c>
      <c r="K18" s="30">
        <f t="shared" ref="K18:K25" si="5">AVERAGE(C18:J18)</f>
        <v>2393.6444444444446</v>
      </c>
      <c r="L18" s="30">
        <f>K18 + SumaryMP1516!C13</f>
        <v>3580.3111111111111</v>
      </c>
      <c r="M18" s="58">
        <f t="shared" si="3"/>
        <v>0.79563323367180117</v>
      </c>
      <c r="N18" s="57">
        <f t="shared" si="4"/>
        <v>0.7924188993512673</v>
      </c>
      <c r="O18" s="3"/>
    </row>
    <row r="19" spans="1:15" ht="12" customHeight="1" x14ac:dyDescent="0.25">
      <c r="A19" s="27" t="s">
        <v>4</v>
      </c>
      <c r="B19" s="32" t="s">
        <v>3</v>
      </c>
      <c r="C19" s="30">
        <f>FSU!B17</f>
        <v>1589.2222222222224</v>
      </c>
      <c r="D19" s="30">
        <f>FSU!C17</f>
        <v>1527.4761904761906</v>
      </c>
      <c r="E19" s="30"/>
      <c r="F19" s="30"/>
      <c r="G19" s="30"/>
      <c r="H19" s="30"/>
      <c r="I19" s="30">
        <f>FSU!H35</f>
        <v>2025</v>
      </c>
      <c r="J19" s="30"/>
      <c r="K19" s="30">
        <f t="shared" si="5"/>
        <v>1713.8994708994712</v>
      </c>
      <c r="L19" s="30">
        <f>K19 + SumaryMP1516!C14</f>
        <v>3278.8194708994715</v>
      </c>
      <c r="M19" s="58">
        <f t="shared" si="3"/>
        <v>0.72863437206947546</v>
      </c>
      <c r="N19" s="57">
        <f t="shared" si="4"/>
        <v>0.56738850061087254</v>
      </c>
      <c r="O19" s="3"/>
    </row>
    <row r="20" spans="1:15" ht="12" customHeight="1" x14ac:dyDescent="0.25">
      <c r="A20" s="27" t="s">
        <v>5</v>
      </c>
      <c r="B20" s="32" t="s">
        <v>3</v>
      </c>
      <c r="C20" s="30">
        <f>'MSU-B'!B17</f>
        <v>1716.6666666666667</v>
      </c>
      <c r="D20" s="30">
        <f>'MSU-B'!C17</f>
        <v>1416.6666666666667</v>
      </c>
      <c r="E20" s="30"/>
      <c r="F20" s="30"/>
      <c r="G20" s="30"/>
      <c r="H20" s="30"/>
      <c r="I20" s="30"/>
      <c r="J20" s="30"/>
      <c r="K20" s="30">
        <f t="shared" si="5"/>
        <v>1566.6666666666667</v>
      </c>
      <c r="L20" s="30">
        <f>K20 + SumaryMP1516!C15</f>
        <v>2580.7777777777778</v>
      </c>
      <c r="M20" s="58">
        <f t="shared" si="3"/>
        <v>0.5735123303528844</v>
      </c>
      <c r="N20" s="57">
        <f t="shared" si="4"/>
        <v>0.5186469020207618</v>
      </c>
      <c r="O20" s="3"/>
    </row>
    <row r="21" spans="1:15" ht="12" customHeight="1" x14ac:dyDescent="0.25">
      <c r="A21" s="27" t="s">
        <v>6</v>
      </c>
      <c r="B21" s="32" t="s">
        <v>3</v>
      </c>
      <c r="C21" s="30"/>
      <c r="D21" s="30"/>
      <c r="E21" s="30"/>
      <c r="F21" s="30"/>
      <c r="G21" s="30">
        <f>'RU-C'!I17</f>
        <v>2720</v>
      </c>
      <c r="H21" s="30"/>
      <c r="I21" s="30">
        <f>'RU-C'!H35</f>
        <v>3654.6666666666665</v>
      </c>
      <c r="J21" s="30">
        <f>'RU-C'!I35</f>
        <v>3412.8571428571427</v>
      </c>
      <c r="K21" s="30">
        <f t="shared" si="5"/>
        <v>3262.5079365079364</v>
      </c>
      <c r="L21" s="30">
        <f>K21 + SumaryMP1516!C16</f>
        <v>4376.5079365079364</v>
      </c>
      <c r="M21" s="58">
        <f t="shared" si="3"/>
        <v>0.97256776119477517</v>
      </c>
      <c r="N21" s="57">
        <f t="shared" si="4"/>
        <v>1.0800572132476529</v>
      </c>
      <c r="O21" s="3"/>
    </row>
    <row r="22" spans="1:15" ht="12" customHeight="1" x14ac:dyDescent="0.25">
      <c r="A22" s="27" t="s">
        <v>7</v>
      </c>
      <c r="B22" s="32" t="s">
        <v>3</v>
      </c>
      <c r="C22" s="30">
        <f>UIS!B17</f>
        <v>3333.3333333333335</v>
      </c>
      <c r="D22" s="30">
        <f>UIS!C17</f>
        <v>2450</v>
      </c>
      <c r="E22" s="30"/>
      <c r="F22" s="30"/>
      <c r="G22" s="30"/>
      <c r="H22" s="30"/>
      <c r="I22" s="30">
        <f>UIS!H35</f>
        <v>1960</v>
      </c>
      <c r="J22" s="30">
        <f>UIS!I35</f>
        <v>1266.6666666666667</v>
      </c>
      <c r="K22" s="30">
        <f t="shared" si="5"/>
        <v>2252.5</v>
      </c>
      <c r="L22" s="30">
        <f>K22 + SumaryMP1516!C17</f>
        <v>3546.25</v>
      </c>
      <c r="M22" s="58">
        <f t="shared" ref="M22:M52" si="6">L22/$L$59</f>
        <v>0.78806401660245606</v>
      </c>
      <c r="N22" s="57">
        <f>K22/$K$59</f>
        <v>0.74569285966070176</v>
      </c>
      <c r="O22" s="3"/>
    </row>
    <row r="23" spans="1:15" ht="12" customHeight="1" x14ac:dyDescent="0.25">
      <c r="A23" s="27" t="s">
        <v>8</v>
      </c>
      <c r="B23" s="32" t="s">
        <v>3</v>
      </c>
      <c r="C23" s="30">
        <f>UMW!B17</f>
        <v>2587.1666666666665</v>
      </c>
      <c r="D23" s="30">
        <f>UMW!C17</f>
        <v>2092</v>
      </c>
      <c r="E23" s="30">
        <f>UMW!D17</f>
        <v>1866.6666666666667</v>
      </c>
      <c r="F23" s="30"/>
      <c r="G23" s="30"/>
      <c r="H23" s="30"/>
      <c r="I23" s="30">
        <f>UMW!H35</f>
        <v>3084</v>
      </c>
      <c r="J23" s="30">
        <f>UMW!I35</f>
        <v>2538</v>
      </c>
      <c r="K23" s="30">
        <f t="shared" si="5"/>
        <v>2433.5666666666666</v>
      </c>
      <c r="L23" s="30">
        <f>K23 + SumaryMP1516!C18</f>
        <v>3571.5666666666666</v>
      </c>
      <c r="M23" s="58">
        <f t="shared" si="6"/>
        <v>0.79369000293176706</v>
      </c>
      <c r="N23" s="57">
        <f>K23/$K$59</f>
        <v>0.80563519948573947</v>
      </c>
      <c r="O23" s="3"/>
    </row>
    <row r="24" spans="1:15" ht="12" customHeight="1" x14ac:dyDescent="0.25">
      <c r="A24" s="27" t="s">
        <v>9</v>
      </c>
      <c r="B24" s="32" t="s">
        <v>3</v>
      </c>
      <c r="C24" s="30">
        <f>UWP!B17</f>
        <v>1676</v>
      </c>
      <c r="D24" s="30">
        <f>UWP!C17</f>
        <v>1440</v>
      </c>
      <c r="E24" s="30"/>
      <c r="F24" s="30">
        <f>UWP!H17</f>
        <v>1844</v>
      </c>
      <c r="G24" s="30">
        <f>UWP!I17</f>
        <v>1582.6666666666667</v>
      </c>
      <c r="H24" s="30"/>
      <c r="I24" s="30">
        <f>UWP!H35</f>
        <v>1653.3333333333333</v>
      </c>
      <c r="J24" s="30">
        <f>UWP!I35</f>
        <v>1338</v>
      </c>
      <c r="K24" s="30">
        <f t="shared" si="5"/>
        <v>1589</v>
      </c>
      <c r="L24" s="30">
        <f>K24 + SumaryMP1516!C19</f>
        <v>2599.833333333333</v>
      </c>
      <c r="M24" s="58">
        <f t="shared" si="6"/>
        <v>0.57774694371903235</v>
      </c>
      <c r="N24" s="57">
        <f>K24/$K$59</f>
        <v>0.52604037913467483</v>
      </c>
      <c r="O24" s="3"/>
    </row>
    <row r="25" spans="1:15" ht="12" customHeight="1" x14ac:dyDescent="0.25">
      <c r="A25" s="27" t="s">
        <v>10</v>
      </c>
      <c r="B25" s="32" t="s">
        <v>3</v>
      </c>
      <c r="C25" s="30">
        <f>BU!B17</f>
        <v>2833.3333333333335</v>
      </c>
      <c r="D25" s="30">
        <f>BU!C17</f>
        <v>2583.3333333333335</v>
      </c>
      <c r="E25" s="30">
        <f>BU!D17</f>
        <v>2583.3333333333335</v>
      </c>
      <c r="F25" s="30">
        <f>BU!H17</f>
        <v>3085.7142857142858</v>
      </c>
      <c r="G25" s="30">
        <f>BU!I17</f>
        <v>2604.166666666667</v>
      </c>
      <c r="H25" s="30">
        <f>BU!J17</f>
        <v>2233.3333333333335</v>
      </c>
      <c r="I25" s="30">
        <f>BU!H35</f>
        <v>3211.1111111111113</v>
      </c>
      <c r="J25" s="30">
        <f>BU!I35</f>
        <v>2583.3333333333335</v>
      </c>
      <c r="K25" s="30">
        <f t="shared" si="5"/>
        <v>2714.7073412698414</v>
      </c>
      <c r="L25" s="30">
        <f>K25 + SumaryMP1516!C20</f>
        <v>5591.207341269841</v>
      </c>
      <c r="M25" s="58">
        <f t="shared" si="6"/>
        <v>1.2425038604210787</v>
      </c>
      <c r="N25" s="57">
        <f>K25/$K$59</f>
        <v>0.89870716113358873</v>
      </c>
      <c r="O25" s="3"/>
    </row>
    <row r="26" spans="1:15" ht="12" customHeight="1" thickBot="1" x14ac:dyDescent="0.3">
      <c r="A26" s="33" t="s">
        <v>24</v>
      </c>
      <c r="B26" s="34" t="s">
        <v>25</v>
      </c>
      <c r="C26" s="35"/>
      <c r="D26" s="35"/>
      <c r="E26" s="35"/>
      <c r="F26" s="35"/>
      <c r="G26" s="35"/>
      <c r="H26" s="35"/>
      <c r="I26" s="36">
        <f>'UW-B'!H35</f>
        <v>3745</v>
      </c>
      <c r="J26" s="36">
        <f>'UW-B'!I35</f>
        <v>2745</v>
      </c>
      <c r="K26" s="61">
        <f t="shared" si="2"/>
        <v>3245</v>
      </c>
      <c r="L26" s="61">
        <f>K26+281.2</f>
        <v>3526.2</v>
      </c>
      <c r="M26" s="62">
        <f t="shared" si="6"/>
        <v>0.78360841320932828</v>
      </c>
      <c r="N26" s="63">
        <f>K26/$K$59</f>
        <v>1.0742611896110885</v>
      </c>
      <c r="O26" s="3"/>
    </row>
    <row r="27" spans="1:15" ht="12" customHeight="1" x14ac:dyDescent="0.25">
      <c r="A27" s="27" t="s">
        <v>40</v>
      </c>
      <c r="B27" s="37" t="s">
        <v>41</v>
      </c>
      <c r="C27" s="30"/>
      <c r="D27" s="30"/>
      <c r="E27" s="30"/>
      <c r="F27" s="30"/>
      <c r="G27" s="30"/>
      <c r="H27" s="30"/>
      <c r="I27" s="30">
        <f>((1325+1350+1375+1450)/4)*3</f>
        <v>4125</v>
      </c>
      <c r="J27" s="30"/>
      <c r="K27" s="30">
        <f t="shared" si="2"/>
        <v>4125</v>
      </c>
      <c r="L27" s="30">
        <f>K27+B68</f>
        <v>5597.692</v>
      </c>
      <c r="M27" s="58">
        <f t="shared" si="6"/>
        <v>1.2439449111662844</v>
      </c>
      <c r="N27" s="57"/>
      <c r="O27" s="1"/>
    </row>
    <row r="28" spans="1:15" ht="12" customHeight="1" x14ac:dyDescent="0.25">
      <c r="A28" s="27" t="s">
        <v>42</v>
      </c>
      <c r="B28" s="37" t="s">
        <v>41</v>
      </c>
      <c r="C28" s="30"/>
      <c r="D28" s="30"/>
      <c r="E28" s="30"/>
      <c r="F28" s="30"/>
      <c r="G28" s="30"/>
      <c r="H28" s="30"/>
      <c r="I28" s="30">
        <f>((1120+1100+1090)/3)*3</f>
        <v>3310</v>
      </c>
      <c r="J28" s="30"/>
      <c r="K28" s="30">
        <f t="shared" si="2"/>
        <v>3310</v>
      </c>
      <c r="L28" s="30">
        <f>K28+B68</f>
        <v>4782.692</v>
      </c>
      <c r="M28" s="58">
        <f t="shared" si="6"/>
        <v>1.0628318555354062</v>
      </c>
      <c r="N28" s="57"/>
      <c r="O28" s="1"/>
    </row>
    <row r="29" spans="1:15" ht="12" customHeight="1" x14ac:dyDescent="0.25">
      <c r="A29" s="27" t="s">
        <v>43</v>
      </c>
      <c r="B29" s="37" t="s">
        <v>41</v>
      </c>
      <c r="C29" s="30"/>
      <c r="D29" s="30"/>
      <c r="E29" s="30"/>
      <c r="F29" s="30"/>
      <c r="G29" s="30"/>
      <c r="H29" s="30"/>
      <c r="I29" s="30">
        <f>((650+699+799+849+899)/5)*3</f>
        <v>2337.6000000000004</v>
      </c>
      <c r="J29" s="30"/>
      <c r="K29" s="30">
        <f t="shared" si="2"/>
        <v>2337.6000000000004</v>
      </c>
      <c r="L29" s="30">
        <f>K29+B68</f>
        <v>3810.2920000000004</v>
      </c>
      <c r="M29" s="58">
        <f t="shared" si="6"/>
        <v>0.84674064658391424</v>
      </c>
      <c r="N29" s="57"/>
      <c r="O29" s="1"/>
    </row>
    <row r="30" spans="1:15" ht="12" customHeight="1" x14ac:dyDescent="0.25">
      <c r="A30" s="27" t="s">
        <v>44</v>
      </c>
      <c r="B30" s="37" t="s">
        <v>41</v>
      </c>
      <c r="C30" s="30"/>
      <c r="D30" s="30"/>
      <c r="E30" s="30"/>
      <c r="F30" s="30"/>
      <c r="G30" s="30"/>
      <c r="H30" s="30"/>
      <c r="I30" s="30">
        <f>((1299+1828+1245+1879+1305+1420)/6)*3</f>
        <v>4488</v>
      </c>
      <c r="J30" s="30"/>
      <c r="K30" s="30">
        <f t="shared" si="2"/>
        <v>4488</v>
      </c>
      <c r="L30" s="30">
        <f>K30+B68</f>
        <v>5960.692</v>
      </c>
      <c r="M30" s="58">
        <f t="shared" si="6"/>
        <v>1.3246124439196694</v>
      </c>
      <c r="N30" s="57"/>
      <c r="O30" s="1"/>
    </row>
    <row r="31" spans="1:15" ht="12" customHeight="1" x14ac:dyDescent="0.25">
      <c r="A31" s="27" t="s">
        <v>45</v>
      </c>
      <c r="B31" s="37" t="s">
        <v>41</v>
      </c>
      <c r="C31" s="30"/>
      <c r="D31" s="30"/>
      <c r="E31" s="30"/>
      <c r="F31" s="30"/>
      <c r="G31" s="30"/>
      <c r="H31" s="30"/>
      <c r="I31" s="30">
        <f>((1150+1195)/2)*3</f>
        <v>3517.5</v>
      </c>
      <c r="J31" s="30"/>
      <c r="K31" s="30">
        <f t="shared" si="2"/>
        <v>3517.5</v>
      </c>
      <c r="L31" s="30">
        <f>K31+B68</f>
        <v>4990.192</v>
      </c>
      <c r="M31" s="58">
        <f t="shared" si="6"/>
        <v>1.1089434617236358</v>
      </c>
      <c r="N31" s="57"/>
      <c r="O31" s="1"/>
    </row>
    <row r="32" spans="1:15" ht="12" customHeight="1" x14ac:dyDescent="0.25">
      <c r="A32" s="27" t="s">
        <v>46</v>
      </c>
      <c r="B32" s="37" t="s">
        <v>41</v>
      </c>
      <c r="C32" s="30"/>
      <c r="D32" s="30"/>
      <c r="E32" s="30"/>
      <c r="F32" s="30"/>
      <c r="G32" s="30"/>
      <c r="H32" s="30"/>
      <c r="I32" s="30">
        <f>((1536+1700)/2)*3</f>
        <v>4854</v>
      </c>
      <c r="J32" s="30"/>
      <c r="K32" s="30">
        <f t="shared" si="2"/>
        <v>4854</v>
      </c>
      <c r="L32" s="30">
        <f>K32+B68</f>
        <v>6326.692</v>
      </c>
      <c r="M32" s="58">
        <f t="shared" si="6"/>
        <v>1.4059466504974625</v>
      </c>
      <c r="N32" s="57"/>
      <c r="O32" s="1"/>
    </row>
    <row r="33" spans="1:15" ht="12" customHeight="1" x14ac:dyDescent="0.25">
      <c r="A33" s="27" t="s">
        <v>47</v>
      </c>
      <c r="B33" s="37" t="s">
        <v>41</v>
      </c>
      <c r="C33" s="30"/>
      <c r="D33" s="30"/>
      <c r="E33" s="30"/>
      <c r="F33" s="30"/>
      <c r="G33" s="30"/>
      <c r="H33" s="30"/>
      <c r="I33" s="30">
        <f>((1200+1325)/2)*3</f>
        <v>3787.5</v>
      </c>
      <c r="J33" s="30"/>
      <c r="K33" s="30">
        <f t="shared" si="2"/>
        <v>3787.5</v>
      </c>
      <c r="L33" s="30">
        <f>K33+B68</f>
        <v>5260.192</v>
      </c>
      <c r="M33" s="58">
        <f t="shared" si="6"/>
        <v>1.1689441059203685</v>
      </c>
      <c r="N33" s="57"/>
      <c r="O33" s="1"/>
    </row>
    <row r="34" spans="1:15" ht="12" customHeight="1" x14ac:dyDescent="0.25">
      <c r="A34" s="27" t="s">
        <v>48</v>
      </c>
      <c r="B34" s="37" t="s">
        <v>41</v>
      </c>
      <c r="C34" s="30"/>
      <c r="D34" s="30"/>
      <c r="E34" s="30"/>
      <c r="F34" s="30"/>
      <c r="G34" s="30"/>
      <c r="H34" s="30"/>
      <c r="I34" s="30">
        <f>((1045+1085)/2)*3</f>
        <v>3195</v>
      </c>
      <c r="J34" s="30"/>
      <c r="K34" s="30">
        <f t="shared" si="2"/>
        <v>3195</v>
      </c>
      <c r="L34" s="30">
        <f>K34+B68</f>
        <v>4667.692</v>
      </c>
      <c r="M34" s="58">
        <f t="shared" si="6"/>
        <v>1.0372760255997608</v>
      </c>
      <c r="N34" s="57"/>
      <c r="O34" s="1"/>
    </row>
    <row r="35" spans="1:15" ht="12" customHeight="1" x14ac:dyDescent="0.25">
      <c r="A35" s="27" t="s">
        <v>49</v>
      </c>
      <c r="B35" s="37" t="s">
        <v>41</v>
      </c>
      <c r="C35" s="30"/>
      <c r="D35" s="30"/>
      <c r="E35" s="30"/>
      <c r="F35" s="30"/>
      <c r="G35" s="30"/>
      <c r="H35" s="30"/>
      <c r="I35" s="30">
        <f>1294*3</f>
        <v>3882</v>
      </c>
      <c r="J35" s="30"/>
      <c r="K35" s="30">
        <f t="shared" si="2"/>
        <v>3882</v>
      </c>
      <c r="L35" s="30">
        <f>K35+B68</f>
        <v>5354.692</v>
      </c>
      <c r="M35" s="58">
        <f t="shared" si="6"/>
        <v>1.1899443313892248</v>
      </c>
      <c r="N35" s="57"/>
      <c r="O35" s="1"/>
    </row>
    <row r="36" spans="1:15" ht="12" customHeight="1" x14ac:dyDescent="0.25">
      <c r="A36" s="27" t="s">
        <v>50</v>
      </c>
      <c r="B36" s="37" t="s">
        <v>41</v>
      </c>
      <c r="C36" s="30"/>
      <c r="D36" s="30"/>
      <c r="E36" s="30"/>
      <c r="F36" s="30"/>
      <c r="G36" s="30"/>
      <c r="H36" s="30"/>
      <c r="I36" s="30">
        <f>((1025+1040+1040+1075+1300+1325+1409+1439+1630)/9)*3</f>
        <v>3761</v>
      </c>
      <c r="J36" s="30"/>
      <c r="K36" s="30">
        <f t="shared" si="2"/>
        <v>3761</v>
      </c>
      <c r="L36" s="30">
        <f>K36+B68</f>
        <v>5233.692</v>
      </c>
      <c r="M36" s="58">
        <f t="shared" si="6"/>
        <v>1.1630551538047633</v>
      </c>
      <c r="N36" s="57"/>
      <c r="O36" s="3"/>
    </row>
    <row r="37" spans="1:15" ht="12" customHeight="1" x14ac:dyDescent="0.25">
      <c r="A37" s="27" t="s">
        <v>51</v>
      </c>
      <c r="B37" s="37" t="s">
        <v>41</v>
      </c>
      <c r="C37" s="30"/>
      <c r="D37" s="30"/>
      <c r="E37" s="30"/>
      <c r="F37" s="30"/>
      <c r="G37" s="30"/>
      <c r="H37" s="30"/>
      <c r="I37" s="30">
        <f>((1265)*3)</f>
        <v>3795</v>
      </c>
      <c r="J37" s="30"/>
      <c r="K37" s="30">
        <f t="shared" si="2"/>
        <v>3795</v>
      </c>
      <c r="L37" s="30">
        <f>K37+B68</f>
        <v>5267.692</v>
      </c>
      <c r="M37" s="58">
        <f t="shared" si="6"/>
        <v>1.1706107904813889</v>
      </c>
      <c r="N37" s="57"/>
      <c r="O37" s="3"/>
    </row>
    <row r="38" spans="1:15" ht="12" customHeight="1" x14ac:dyDescent="0.25">
      <c r="A38" s="27" t="s">
        <v>52</v>
      </c>
      <c r="B38" s="37" t="s">
        <v>41</v>
      </c>
      <c r="C38" s="30"/>
      <c r="D38" s="30"/>
      <c r="E38" s="30"/>
      <c r="F38" s="30"/>
      <c r="G38" s="30"/>
      <c r="H38" s="30"/>
      <c r="I38" s="30">
        <f>1408*3</f>
        <v>4224</v>
      </c>
      <c r="J38" s="30"/>
      <c r="K38" s="30">
        <f t="shared" si="2"/>
        <v>4224</v>
      </c>
      <c r="L38" s="30">
        <f>K38+B68</f>
        <v>5696.692</v>
      </c>
      <c r="M38" s="58">
        <f t="shared" si="6"/>
        <v>1.2659451473717529</v>
      </c>
      <c r="N38" s="57"/>
      <c r="O38" s="3"/>
    </row>
    <row r="39" spans="1:15" ht="12" customHeight="1" x14ac:dyDescent="0.25">
      <c r="A39" s="27" t="s">
        <v>53</v>
      </c>
      <c r="B39" s="37" t="s">
        <v>41</v>
      </c>
      <c r="C39" s="30"/>
      <c r="D39" s="30"/>
      <c r="E39" s="30"/>
      <c r="F39" s="30"/>
      <c r="G39" s="30"/>
      <c r="H39" s="30"/>
      <c r="I39" s="30">
        <f>((1146+1283)/2)*3</f>
        <v>3643.5</v>
      </c>
      <c r="J39" s="30"/>
      <c r="K39" s="30">
        <f t="shared" si="2"/>
        <v>3643.5</v>
      </c>
      <c r="L39" s="30">
        <f>K39+B68</f>
        <v>5116.192</v>
      </c>
      <c r="M39" s="58">
        <f t="shared" si="6"/>
        <v>1.1369437623487777</v>
      </c>
      <c r="N39" s="57"/>
      <c r="O39" s="3"/>
    </row>
    <row r="40" spans="1:15" ht="12" customHeight="1" x14ac:dyDescent="0.25">
      <c r="A40" s="27" t="s">
        <v>54</v>
      </c>
      <c r="B40" s="37" t="s">
        <v>41</v>
      </c>
      <c r="C40" s="30"/>
      <c r="D40" s="30"/>
      <c r="E40" s="30"/>
      <c r="F40" s="30"/>
      <c r="G40" s="30"/>
      <c r="H40" s="30"/>
      <c r="I40" s="30">
        <f>((1267+1465)/2)*3</f>
        <v>4098</v>
      </c>
      <c r="J40" s="30"/>
      <c r="K40" s="30">
        <f t="shared" si="2"/>
        <v>4098</v>
      </c>
      <c r="L40" s="30">
        <f>K40+B68</f>
        <v>5570.692</v>
      </c>
      <c r="M40" s="58">
        <f t="shared" si="6"/>
        <v>1.237944846746611</v>
      </c>
      <c r="N40" s="57"/>
      <c r="O40" s="3"/>
    </row>
    <row r="41" spans="1:15" ht="12" customHeight="1" x14ac:dyDescent="0.25">
      <c r="A41" s="27" t="s">
        <v>55</v>
      </c>
      <c r="B41" s="37" t="s">
        <v>41</v>
      </c>
      <c r="C41" s="30"/>
      <c r="D41" s="30"/>
      <c r="E41" s="30"/>
      <c r="F41" s="30"/>
      <c r="G41" s="30"/>
      <c r="H41" s="30"/>
      <c r="I41" s="30">
        <f>965*3</f>
        <v>2895</v>
      </c>
      <c r="J41" s="30"/>
      <c r="K41" s="30">
        <f t="shared" si="2"/>
        <v>2895</v>
      </c>
      <c r="L41" s="30">
        <f>K41+B68</f>
        <v>4367.692</v>
      </c>
      <c r="M41" s="58">
        <f t="shared" si="6"/>
        <v>0.97060864315894668</v>
      </c>
      <c r="N41" s="57"/>
      <c r="O41" s="3"/>
    </row>
    <row r="42" spans="1:15" ht="12" customHeight="1" x14ac:dyDescent="0.25">
      <c r="A42" s="27" t="s">
        <v>56</v>
      </c>
      <c r="B42" s="37" t="s">
        <v>41</v>
      </c>
      <c r="C42" s="30"/>
      <c r="D42" s="30"/>
      <c r="E42" s="30"/>
      <c r="F42" s="30"/>
      <c r="G42" s="30"/>
      <c r="H42" s="30"/>
      <c r="I42" s="30">
        <f>((662+794)/2)*3</f>
        <v>2184</v>
      </c>
      <c r="J42" s="30"/>
      <c r="K42" s="30">
        <f t="shared" si="2"/>
        <v>2184</v>
      </c>
      <c r="L42" s="30">
        <f>K42+B68</f>
        <v>3656.692</v>
      </c>
      <c r="M42" s="58">
        <f t="shared" si="6"/>
        <v>0.81260694677421741</v>
      </c>
      <c r="N42" s="57"/>
      <c r="O42" s="3"/>
    </row>
    <row r="43" spans="1:15" ht="12" customHeight="1" x14ac:dyDescent="0.25">
      <c r="A43" s="27" t="s">
        <v>57</v>
      </c>
      <c r="B43" s="37" t="s">
        <v>41</v>
      </c>
      <c r="C43" s="30"/>
      <c r="D43" s="30"/>
      <c r="E43" s="30"/>
      <c r="F43" s="30"/>
      <c r="G43" s="30"/>
      <c r="H43" s="30"/>
      <c r="I43" s="30">
        <f>(1150*3)</f>
        <v>3450</v>
      </c>
      <c r="J43" s="30"/>
      <c r="K43" s="30">
        <f t="shared" si="2"/>
        <v>3450</v>
      </c>
      <c r="L43" s="30">
        <f>K43+B68</f>
        <v>4922.692</v>
      </c>
      <c r="M43" s="58">
        <f t="shared" si="6"/>
        <v>1.0939433006744528</v>
      </c>
      <c r="N43" s="57"/>
      <c r="O43" s="3"/>
    </row>
    <row r="44" spans="1:15" ht="12" customHeight="1" x14ac:dyDescent="0.25">
      <c r="A44" s="27" t="s">
        <v>58</v>
      </c>
      <c r="B44" s="37" t="s">
        <v>41</v>
      </c>
      <c r="C44" s="30"/>
      <c r="D44" s="30"/>
      <c r="E44" s="30"/>
      <c r="F44" s="30"/>
      <c r="G44" s="30"/>
      <c r="H44" s="30"/>
      <c r="I44" s="30">
        <f>((1179+1189+1199)/3)*3</f>
        <v>3567</v>
      </c>
      <c r="J44" s="30"/>
      <c r="K44" s="30">
        <f t="shared" si="2"/>
        <v>3567</v>
      </c>
      <c r="L44" s="30">
        <f>K44+B68</f>
        <v>5039.692</v>
      </c>
      <c r="M44" s="58">
        <f t="shared" si="6"/>
        <v>1.1199435798263702</v>
      </c>
      <c r="N44" s="57"/>
      <c r="O44" s="3"/>
    </row>
    <row r="45" spans="1:15" ht="12" customHeight="1" x14ac:dyDescent="0.25">
      <c r="A45" s="27" t="s">
        <v>59</v>
      </c>
      <c r="B45" s="37" t="s">
        <v>41</v>
      </c>
      <c r="C45" s="30"/>
      <c r="D45" s="30"/>
      <c r="E45" s="30"/>
      <c r="F45" s="30"/>
      <c r="G45" s="30"/>
      <c r="H45" s="30"/>
      <c r="I45" s="30">
        <f>((855+890+1190)/3)*3</f>
        <v>2935</v>
      </c>
      <c r="J45" s="30"/>
      <c r="K45" s="30">
        <f t="shared" si="2"/>
        <v>2935</v>
      </c>
      <c r="L45" s="30">
        <f>K45+B68</f>
        <v>4407.692</v>
      </c>
      <c r="M45" s="58">
        <f t="shared" si="6"/>
        <v>0.97949762748438851</v>
      </c>
      <c r="N45" s="57"/>
      <c r="O45" s="3"/>
    </row>
    <row r="46" spans="1:15" ht="12" customHeight="1" x14ac:dyDescent="0.25">
      <c r="A46" s="27" t="s">
        <v>60</v>
      </c>
      <c r="B46" s="37" t="s">
        <v>41</v>
      </c>
      <c r="C46" s="30"/>
      <c r="D46" s="30"/>
      <c r="E46" s="30"/>
      <c r="F46" s="30"/>
      <c r="G46" s="30"/>
      <c r="H46" s="30"/>
      <c r="I46" s="30">
        <f>((925+1010)/2)*3</f>
        <v>2902.5</v>
      </c>
      <c r="J46" s="30"/>
      <c r="K46" s="30">
        <f t="shared" si="2"/>
        <v>2902.5</v>
      </c>
      <c r="L46" s="30">
        <f>K46+B68</f>
        <v>4375.192</v>
      </c>
      <c r="M46" s="58">
        <f t="shared" si="6"/>
        <v>0.97227532771996705</v>
      </c>
      <c r="N46" s="57"/>
      <c r="O46" s="3"/>
    </row>
    <row r="47" spans="1:15" ht="12" customHeight="1" x14ac:dyDescent="0.25">
      <c r="A47" s="27" t="s">
        <v>61</v>
      </c>
      <c r="B47" s="37" t="s">
        <v>41</v>
      </c>
      <c r="C47" s="30"/>
      <c r="D47" s="30"/>
      <c r="E47" s="30"/>
      <c r="F47" s="30"/>
      <c r="G47" s="30"/>
      <c r="H47" s="30"/>
      <c r="I47" s="30">
        <f>((1187+1267)/2)*3</f>
        <v>3681</v>
      </c>
      <c r="J47" s="30"/>
      <c r="K47" s="30">
        <f t="shared" si="2"/>
        <v>3681</v>
      </c>
      <c r="L47" s="30">
        <f>K47+B68</f>
        <v>5153.692</v>
      </c>
      <c r="M47" s="58">
        <f t="shared" si="6"/>
        <v>1.1452771851538794</v>
      </c>
      <c r="N47" s="57"/>
      <c r="O47" s="3"/>
    </row>
    <row r="48" spans="1:15" ht="12" customHeight="1" x14ac:dyDescent="0.25">
      <c r="A48" s="27" t="s">
        <v>62</v>
      </c>
      <c r="B48" s="37" t="s">
        <v>41</v>
      </c>
      <c r="C48" s="30"/>
      <c r="D48" s="30"/>
      <c r="E48" s="30"/>
      <c r="F48" s="30"/>
      <c r="G48" s="30"/>
      <c r="H48" s="30"/>
      <c r="I48" s="30">
        <f>((890+1110)/2)*3</f>
        <v>3000</v>
      </c>
      <c r="J48" s="30"/>
      <c r="K48" s="30">
        <f t="shared" si="2"/>
        <v>3000</v>
      </c>
      <c r="L48" s="30">
        <f>K48+B68</f>
        <v>4472.692</v>
      </c>
      <c r="M48" s="58">
        <f t="shared" si="6"/>
        <v>0.99394222701323165</v>
      </c>
      <c r="N48" s="57"/>
      <c r="O48" s="3"/>
    </row>
    <row r="49" spans="1:15" ht="12" customHeight="1" x14ac:dyDescent="0.25">
      <c r="A49" s="27" t="s">
        <v>63</v>
      </c>
      <c r="B49" s="37" t="s">
        <v>41</v>
      </c>
      <c r="C49" s="30"/>
      <c r="D49" s="30"/>
      <c r="E49" s="30"/>
      <c r="F49" s="30"/>
      <c r="G49" s="30"/>
      <c r="H49" s="30"/>
      <c r="I49" s="30">
        <f>1400*3</f>
        <v>4200</v>
      </c>
      <c r="J49" s="30"/>
      <c r="K49" s="30">
        <f>AVERAGE(C49:J49)</f>
        <v>4200</v>
      </c>
      <c r="L49" s="30">
        <f>K49+B68</f>
        <v>5672.692</v>
      </c>
      <c r="M49" s="58">
        <f t="shared" si="6"/>
        <v>1.2606117567764878</v>
      </c>
      <c r="N49" s="57"/>
      <c r="O49" s="3"/>
    </row>
    <row r="50" spans="1:15" ht="12" customHeight="1" x14ac:dyDescent="0.25">
      <c r="A50" s="27" t="s">
        <v>64</v>
      </c>
      <c r="B50" s="37" t="s">
        <v>41</v>
      </c>
      <c r="C50" s="30"/>
      <c r="D50" s="30"/>
      <c r="E50" s="30"/>
      <c r="F50" s="30"/>
      <c r="G50" s="30"/>
      <c r="H50" s="30"/>
      <c r="I50" s="30">
        <f>((999+1129)/2)*3</f>
        <v>3192</v>
      </c>
      <c r="J50" s="30"/>
      <c r="K50" s="30">
        <f t="shared" si="2"/>
        <v>3192</v>
      </c>
      <c r="L50" s="30">
        <f>K50+B68</f>
        <v>4664.692</v>
      </c>
      <c r="M50" s="58">
        <f t="shared" si="6"/>
        <v>1.0366093517753525</v>
      </c>
      <c r="N50" s="57"/>
      <c r="O50" s="3"/>
    </row>
    <row r="51" spans="1:15" ht="12" customHeight="1" x14ac:dyDescent="0.25">
      <c r="A51" s="27" t="s">
        <v>72</v>
      </c>
      <c r="B51" s="37" t="s">
        <v>41</v>
      </c>
      <c r="C51" s="30"/>
      <c r="D51" s="30"/>
      <c r="E51" s="30"/>
      <c r="F51" s="30"/>
      <c r="G51" s="30"/>
      <c r="H51" s="30"/>
      <c r="I51" s="30">
        <f>1400*3</f>
        <v>4200</v>
      </c>
      <c r="J51" s="30"/>
      <c r="K51" s="30">
        <f t="shared" si="2"/>
        <v>4200</v>
      </c>
      <c r="L51" s="30">
        <f>K51+B68</f>
        <v>5672.692</v>
      </c>
      <c r="M51" s="58">
        <f t="shared" si="6"/>
        <v>1.2606117567764878</v>
      </c>
      <c r="N51" s="57"/>
      <c r="O51" s="3"/>
    </row>
    <row r="52" spans="1:15" s="3" customFormat="1" ht="12" customHeight="1" x14ac:dyDescent="0.25">
      <c r="A52" s="27" t="s">
        <v>71</v>
      </c>
      <c r="B52" s="37" t="s">
        <v>41</v>
      </c>
      <c r="C52" s="30"/>
      <c r="D52" s="30"/>
      <c r="E52" s="30"/>
      <c r="F52" s="30"/>
      <c r="G52" s="30"/>
      <c r="H52" s="30"/>
      <c r="I52" s="30">
        <f>1475*3</f>
        <v>4425</v>
      </c>
      <c r="J52" s="30"/>
      <c r="K52" s="30">
        <f t="shared" si="2"/>
        <v>4425</v>
      </c>
      <c r="L52" s="30">
        <f>K52+B68</f>
        <v>5897.692</v>
      </c>
      <c r="M52" s="58">
        <f t="shared" si="6"/>
        <v>1.3106122936070983</v>
      </c>
      <c r="N52" s="57"/>
    </row>
    <row r="53" spans="1:15" ht="2.25" customHeight="1" x14ac:dyDescent="0.25">
      <c r="A53" s="38"/>
      <c r="B53" s="38"/>
      <c r="C53" s="39">
        <f>CWU!B64</f>
        <v>0</v>
      </c>
      <c r="D53" s="39">
        <f>CWU!C64</f>
        <v>0</v>
      </c>
      <c r="E53" s="39">
        <f>SPU!D60</f>
        <v>0</v>
      </c>
      <c r="F53" s="39">
        <f>CWU!H64</f>
        <v>0</v>
      </c>
      <c r="G53" s="39">
        <f>CWU!I64</f>
        <v>0</v>
      </c>
      <c r="H53" s="39">
        <f>CWU!J64</f>
        <v>0</v>
      </c>
      <c r="I53" s="39"/>
      <c r="J53" s="39">
        <f>SPU!I78</f>
        <v>0</v>
      </c>
      <c r="K53" s="39"/>
      <c r="L53" s="39">
        <f>K53+SumaryMP1516!C51</f>
        <v>0</v>
      </c>
      <c r="M53" s="59"/>
      <c r="N53" s="59" t="e">
        <f>L53/#REF!</f>
        <v>#REF!</v>
      </c>
      <c r="O53" s="3"/>
    </row>
    <row r="54" spans="1:15" s="3" customFormat="1" ht="12" customHeight="1" x14ac:dyDescent="0.25">
      <c r="A54" s="27" t="s">
        <v>65</v>
      </c>
      <c r="B54" s="40" t="s">
        <v>66</v>
      </c>
      <c r="C54" s="30"/>
      <c r="D54" s="30"/>
      <c r="E54" s="30"/>
      <c r="F54" s="30"/>
      <c r="G54" s="30"/>
      <c r="H54" s="30"/>
      <c r="I54" s="30">
        <f>AVERAGE(I27:I52)</f>
        <v>3601.9076923076927</v>
      </c>
      <c r="J54" s="30"/>
      <c r="K54" s="44">
        <f>AVERAGE(C54:J54)</f>
        <v>3601.9076923076927</v>
      </c>
      <c r="L54" s="44">
        <f>K54+SummaryHR1516!$B$68</f>
        <v>5074.5996923076927</v>
      </c>
      <c r="M54" s="58"/>
      <c r="N54" s="57"/>
    </row>
    <row r="55" spans="1:15" ht="12" customHeight="1" x14ac:dyDescent="0.25">
      <c r="A55" s="27" t="s">
        <v>27</v>
      </c>
      <c r="B55" s="40" t="s">
        <v>67</v>
      </c>
      <c r="C55" s="30">
        <f t="shared" ref="C55:K55" si="7">AVERAGE(C18:C25)</f>
        <v>2408.3412698412694</v>
      </c>
      <c r="D55" s="30">
        <f t="shared" si="7"/>
        <v>1974.7823129251703</v>
      </c>
      <c r="E55" s="30">
        <f t="shared" si="7"/>
        <v>2160</v>
      </c>
      <c r="F55" s="30">
        <f t="shared" si="7"/>
        <v>2464.8571428571431</v>
      </c>
      <c r="G55" s="30">
        <f t="shared" si="7"/>
        <v>2302.2777777777778</v>
      </c>
      <c r="H55" s="30">
        <f t="shared" si="7"/>
        <v>2233.3333333333335</v>
      </c>
      <c r="I55" s="30">
        <f t="shared" si="7"/>
        <v>2644.9523809523812</v>
      </c>
      <c r="J55" s="30">
        <f t="shared" si="7"/>
        <v>2118.9761904761904</v>
      </c>
      <c r="K55" s="44">
        <f t="shared" si="7"/>
        <v>2240.8115658068782</v>
      </c>
      <c r="L55" s="44">
        <f>K55+SumaryMP1516!C26</f>
        <v>3640.6592046957671</v>
      </c>
      <c r="M55" s="58"/>
      <c r="N55" s="57"/>
      <c r="O55" s="3"/>
    </row>
    <row r="56" spans="1:15" ht="12" customHeight="1" x14ac:dyDescent="0.25">
      <c r="A56" s="27" t="s">
        <v>28</v>
      </c>
      <c r="B56" s="40" t="s">
        <v>68</v>
      </c>
      <c r="C56" s="30">
        <f t="shared" ref="C56:K56" si="8">AVERAGE(C6:C14)</f>
        <v>2377.0963804713806</v>
      </c>
      <c r="D56" s="30">
        <f t="shared" si="8"/>
        <v>2035.4301587301586</v>
      </c>
      <c r="E56" s="30">
        <f t="shared" si="8"/>
        <v>2036.3333333333333</v>
      </c>
      <c r="F56" s="30">
        <f t="shared" si="8"/>
        <v>2720.625</v>
      </c>
      <c r="G56" s="30">
        <f t="shared" si="8"/>
        <v>2399.75</v>
      </c>
      <c r="H56" s="30">
        <f t="shared" si="8"/>
        <v>1958.0833333333335</v>
      </c>
      <c r="I56" s="30">
        <f t="shared" si="8"/>
        <v>2593.9041171993913</v>
      </c>
      <c r="J56" s="30">
        <f t="shared" si="8"/>
        <v>2516.3333333333335</v>
      </c>
      <c r="K56" s="44">
        <f t="shared" si="8"/>
        <v>2225.6708680235715</v>
      </c>
      <c r="L56" s="44">
        <f>K56+SumaryMP1516!C27</f>
        <v>3802.0920981823019</v>
      </c>
      <c r="M56" s="58"/>
      <c r="N56" s="57"/>
      <c r="O56" s="3"/>
    </row>
    <row r="57" spans="1:15" ht="12" customHeight="1" x14ac:dyDescent="0.25">
      <c r="A57" s="27" t="s">
        <v>293</v>
      </c>
      <c r="B57" s="40" t="s">
        <v>69</v>
      </c>
      <c r="C57" s="30">
        <f>AVERAGE(C15:C17)</f>
        <v>2594.5555555555552</v>
      </c>
      <c r="D57" s="30">
        <f>AVERAGE(D15:D17)</f>
        <v>2095.037037037037</v>
      </c>
      <c r="E57" s="30">
        <f>AVERAGE(E15:E17)</f>
        <v>1793.25</v>
      </c>
      <c r="F57" s="30">
        <f>AVERAGE(F15:F17)</f>
        <v>2464.166666666667</v>
      </c>
      <c r="G57" s="30"/>
      <c r="H57" s="30"/>
      <c r="I57" s="30">
        <f>AVERAGE(I15:I17)</f>
        <v>3052.3095238095243</v>
      </c>
      <c r="J57" s="30">
        <f>AVERAGE(J15:J17)</f>
        <v>2031.5</v>
      </c>
      <c r="K57" s="44">
        <f>AVERAGE(K15:K17)</f>
        <v>2373.2869047619047</v>
      </c>
      <c r="L57" s="44">
        <f>K57+SumaryMP1516!C29</f>
        <v>3859.1369548872181</v>
      </c>
      <c r="M57" s="58"/>
      <c r="N57" s="57"/>
      <c r="O57" s="3"/>
    </row>
    <row r="58" spans="1:15" ht="12" customHeight="1" x14ac:dyDescent="0.25">
      <c r="A58" s="27" t="s">
        <v>294</v>
      </c>
      <c r="B58" s="40" t="s">
        <v>295</v>
      </c>
      <c r="C58" s="30">
        <f>AVERAGE(C6:C26)</f>
        <v>2431.5396148989898</v>
      </c>
      <c r="D58" s="30">
        <f>AVERAGE(D6:D26)</f>
        <v>2020.9763772175536</v>
      </c>
      <c r="E58" s="30">
        <f t="shared" ref="E58:L58" si="9">AVERAGE(E6:E26)</f>
        <v>2021.9375</v>
      </c>
      <c r="F58" s="30">
        <f t="shared" si="9"/>
        <v>2592.5684523809527</v>
      </c>
      <c r="G58" s="30">
        <f t="shared" si="9"/>
        <v>2357.9761904761904</v>
      </c>
      <c r="H58" s="30">
        <f t="shared" si="9"/>
        <v>2049.8333333333335</v>
      </c>
      <c r="I58" s="30">
        <f t="shared" si="9"/>
        <v>2763.5305847818577</v>
      </c>
      <c r="J58" s="30">
        <f t="shared" si="9"/>
        <v>2275.9377289377289</v>
      </c>
      <c r="K58" s="44">
        <f>AVERAGE(K6:K26)</f>
        <v>2301.066240616804</v>
      </c>
      <c r="L58" s="44">
        <f t="shared" si="9"/>
        <v>3672.1877145397061</v>
      </c>
      <c r="M58" s="58"/>
      <c r="N58" s="58"/>
      <c r="O58" s="3"/>
    </row>
    <row r="59" spans="1:15" ht="14.25" customHeight="1" x14ac:dyDescent="0.25">
      <c r="A59" s="27" t="s">
        <v>29</v>
      </c>
      <c r="B59" s="40" t="s">
        <v>70</v>
      </c>
      <c r="C59" s="30">
        <f t="shared" ref="C59:H59" si="10">AVERAGE(C6:C25)</f>
        <v>2431.5396148989898</v>
      </c>
      <c r="D59" s="30">
        <f t="shared" si="10"/>
        <v>2020.9763772175536</v>
      </c>
      <c r="E59" s="30">
        <f t="shared" si="10"/>
        <v>2021.9375</v>
      </c>
      <c r="F59" s="30">
        <f t="shared" si="10"/>
        <v>2592.5684523809527</v>
      </c>
      <c r="G59" s="30">
        <f t="shared" si="10"/>
        <v>2357.9761904761904</v>
      </c>
      <c r="H59" s="30">
        <f t="shared" si="10"/>
        <v>2049.8333333333335</v>
      </c>
      <c r="I59" s="30">
        <f>AVERAGE(I6:I52)</f>
        <v>3270.4562777044553</v>
      </c>
      <c r="J59" s="30">
        <f>AVERAGE(J6:J52)</f>
        <v>2275.9377289377289</v>
      </c>
      <c r="K59" s="44">
        <f>AVERAGE(K6:K52)</f>
        <v>3020.6806607011254</v>
      </c>
      <c r="L59" s="44">
        <f>K59 + AVERAGE(B68, SumaryMP1516!C29)</f>
        <v>4499.9516857637827</v>
      </c>
      <c r="M59" s="60"/>
      <c r="N59" s="60"/>
      <c r="O59" s="3"/>
    </row>
    <row r="60" spans="1:15" s="9" customFormat="1" ht="14.25" customHeight="1" x14ac:dyDescent="0.25">
      <c r="A60" s="48"/>
      <c r="B60" s="49"/>
      <c r="C60" s="50"/>
      <c r="D60" s="50"/>
      <c r="E60" s="50"/>
      <c r="F60" s="50"/>
      <c r="G60" s="50"/>
      <c r="H60" s="50"/>
      <c r="I60" s="50"/>
      <c r="J60" s="50"/>
      <c r="K60" s="51"/>
      <c r="L60" s="51"/>
      <c r="M60" s="50"/>
      <c r="N60" s="50"/>
    </row>
    <row r="61" spans="1:15" s="9" customFormat="1" ht="14.25" customHeight="1" x14ac:dyDescent="0.25">
      <c r="A61" s="27"/>
      <c r="B61" s="27"/>
      <c r="C61" s="42"/>
      <c r="D61" s="42"/>
      <c r="E61" s="42"/>
      <c r="F61" s="42"/>
      <c r="G61" s="42"/>
      <c r="H61" s="42"/>
      <c r="I61" s="42"/>
      <c r="J61" s="42"/>
      <c r="K61" s="42"/>
      <c r="L61" s="42"/>
      <c r="M61" s="42"/>
      <c r="N61" s="42"/>
    </row>
    <row r="62" spans="1:15" ht="15.75" customHeight="1" x14ac:dyDescent="0.25">
      <c r="A62" s="27" t="s">
        <v>284</v>
      </c>
      <c r="B62" s="27"/>
      <c r="C62" s="27"/>
      <c r="D62" s="27"/>
      <c r="E62" s="27"/>
      <c r="F62" s="27"/>
      <c r="G62" s="27"/>
      <c r="H62" s="27"/>
      <c r="I62" s="27"/>
      <c r="L62" s="66"/>
      <c r="M62" s="27"/>
      <c r="N62" s="27"/>
      <c r="O62" s="3"/>
    </row>
    <row r="63" spans="1:15" ht="14.25" customHeight="1" x14ac:dyDescent="0.25">
      <c r="A63" s="27" t="s">
        <v>285</v>
      </c>
      <c r="B63" s="27"/>
      <c r="C63" s="27"/>
      <c r="D63" s="27"/>
      <c r="E63" s="27"/>
      <c r="F63" s="27"/>
      <c r="G63" s="27"/>
      <c r="H63" s="27"/>
      <c r="I63" s="27"/>
      <c r="J63" s="71" t="s">
        <v>303</v>
      </c>
      <c r="K63" s="71"/>
      <c r="L63" s="27"/>
      <c r="M63" s="27"/>
      <c r="N63" s="27"/>
      <c r="O63" s="3"/>
    </row>
    <row r="64" spans="1:15" x14ac:dyDescent="0.25">
      <c r="A64" s="27" t="s">
        <v>286</v>
      </c>
      <c r="B64" s="30"/>
      <c r="C64" s="27"/>
      <c r="D64" s="27"/>
      <c r="E64" s="27"/>
      <c r="F64" s="27"/>
      <c r="G64" s="27"/>
      <c r="H64" s="27"/>
      <c r="I64" s="27"/>
      <c r="J64" s="54" t="s">
        <v>296</v>
      </c>
      <c r="K64" s="55">
        <f>((3542.69 - 3164.51) / 3164.51)</f>
        <v>0.11950665347873757</v>
      </c>
      <c r="L64" s="27"/>
      <c r="M64" s="27"/>
      <c r="N64" s="27"/>
      <c r="O64" s="3"/>
    </row>
    <row r="65" spans="1:15" x14ac:dyDescent="0.25">
      <c r="A65" s="27" t="s">
        <v>287</v>
      </c>
      <c r="B65" s="27"/>
      <c r="C65" s="27"/>
      <c r="D65" s="27"/>
      <c r="E65" s="27"/>
      <c r="F65" s="27"/>
      <c r="G65" s="27"/>
      <c r="H65" s="27"/>
      <c r="I65" s="27"/>
      <c r="J65" s="65" t="s">
        <v>297</v>
      </c>
      <c r="K65" s="70">
        <f>AVERAGE( ((I58 - 2515.4) / 2515.4), ((J58- 2115.43) / 2115.43) )</f>
        <v>8.7259668186890876E-2</v>
      </c>
      <c r="L65" s="27"/>
      <c r="M65" s="27"/>
      <c r="N65" s="27"/>
      <c r="O65" s="3"/>
    </row>
    <row r="66" spans="1:15" x14ac:dyDescent="0.25">
      <c r="A66" s="27" t="s">
        <v>288</v>
      </c>
      <c r="B66" s="27"/>
      <c r="C66" s="27"/>
      <c r="D66" s="27"/>
      <c r="E66" s="27"/>
      <c r="F66" s="27"/>
      <c r="G66" s="27"/>
      <c r="H66" s="27"/>
      <c r="I66" s="27"/>
      <c r="J66" s="54" t="s">
        <v>298</v>
      </c>
      <c r="K66" s="56">
        <v>3.6499999999999998E-2</v>
      </c>
      <c r="L66" s="27"/>
      <c r="M66" s="27"/>
      <c r="N66" s="27"/>
      <c r="O66" s="3"/>
    </row>
    <row r="67" spans="1:15" x14ac:dyDescent="0.25">
      <c r="A67" s="27" t="s">
        <v>289</v>
      </c>
      <c r="B67" s="27"/>
      <c r="C67" s="27"/>
      <c r="D67" s="27"/>
      <c r="E67" s="27"/>
      <c r="F67" s="27"/>
      <c r="G67" s="27"/>
      <c r="H67" s="27"/>
      <c r="I67" s="27"/>
      <c r="J67" s="65" t="s">
        <v>299</v>
      </c>
      <c r="K67" s="55">
        <v>2.1700000000000001E-2</v>
      </c>
      <c r="L67" s="27"/>
      <c r="M67" s="27"/>
      <c r="N67" s="27"/>
      <c r="O67" s="3"/>
    </row>
    <row r="68" spans="1:15" x14ac:dyDescent="0.25">
      <c r="A68" s="41" t="s">
        <v>290</v>
      </c>
      <c r="B68" s="41">
        <f>((521.82/30)*254)/3</f>
        <v>1472.6920000000002</v>
      </c>
      <c r="C68" s="27"/>
      <c r="D68" s="27"/>
      <c r="E68" s="27"/>
      <c r="F68" s="27"/>
      <c r="G68" s="27"/>
      <c r="H68" s="27"/>
      <c r="I68" s="27"/>
      <c r="J68" s="54" t="s">
        <v>25</v>
      </c>
      <c r="K68" s="55">
        <v>0</v>
      </c>
      <c r="L68" s="27"/>
      <c r="M68" s="27"/>
      <c r="N68" s="27"/>
    </row>
    <row r="69" spans="1:15" s="9" customFormat="1" x14ac:dyDescent="0.25">
      <c r="A69" s="41"/>
      <c r="B69" s="41"/>
      <c r="C69" s="27"/>
      <c r="D69" s="27"/>
      <c r="E69" s="27"/>
      <c r="F69" s="27"/>
      <c r="G69" s="27"/>
      <c r="H69" s="27"/>
      <c r="I69" s="27"/>
      <c r="J69" s="48" t="s">
        <v>304</v>
      </c>
      <c r="K69" s="67"/>
      <c r="L69" s="27"/>
      <c r="M69" s="27"/>
      <c r="N69" s="27"/>
    </row>
    <row r="70" spans="1:15" x14ac:dyDescent="0.25">
      <c r="C70" s="27"/>
      <c r="D70" s="27"/>
      <c r="E70" s="27"/>
      <c r="F70" s="27"/>
      <c r="G70" s="27"/>
      <c r="H70" s="27"/>
      <c r="I70" s="27"/>
      <c r="J70" s="27" t="s">
        <v>302</v>
      </c>
      <c r="K70" s="27"/>
      <c r="L70" s="27"/>
      <c r="M70" s="27"/>
      <c r="N70" s="27"/>
    </row>
    <row r="71" spans="1:15" x14ac:dyDescent="0.25">
      <c r="A71" s="27"/>
      <c r="C71" s="27"/>
      <c r="D71" s="27"/>
      <c r="E71" s="27"/>
      <c r="F71" s="27"/>
      <c r="G71" s="27"/>
      <c r="H71" s="27"/>
      <c r="I71" s="27"/>
      <c r="J71" s="27" t="s">
        <v>300</v>
      </c>
      <c r="K71" s="27"/>
      <c r="L71" s="27"/>
      <c r="M71" s="27"/>
      <c r="N71" s="27"/>
    </row>
    <row r="72" spans="1:15" x14ac:dyDescent="0.25">
      <c r="A72" s="27"/>
      <c r="B72" s="52"/>
      <c r="C72" s="26"/>
      <c r="D72" s="53"/>
      <c r="J72" s="64" t="s">
        <v>301</v>
      </c>
    </row>
    <row r="73" spans="1:15" x14ac:dyDescent="0.25">
      <c r="A73" s="27"/>
      <c r="B73" s="52"/>
      <c r="C73" s="26"/>
      <c r="D73" s="53"/>
    </row>
    <row r="74" spans="1:15" x14ac:dyDescent="0.25">
      <c r="A74" s="27"/>
      <c r="B74" s="52"/>
      <c r="C74" s="26"/>
      <c r="D74" s="53"/>
    </row>
    <row r="75" spans="1:15" x14ac:dyDescent="0.25">
      <c r="A75" s="27"/>
      <c r="B75" s="52"/>
      <c r="C75" s="26"/>
      <c r="D75" s="53"/>
    </row>
    <row r="76" spans="1:15" x14ac:dyDescent="0.25">
      <c r="A76" s="27"/>
      <c r="B76" s="52"/>
      <c r="C76" s="26"/>
      <c r="D76" s="53"/>
    </row>
  </sheetData>
  <mergeCells count="1">
    <mergeCell ref="J63:K63"/>
  </mergeCells>
  <pageMargins left="0.7" right="0.7" top="0.75" bottom="0.75" header="0.3" footer="0.3"/>
  <pageSetup orientation="portrait" r:id="rId1"/>
  <ignoredErrors>
    <ignoredError sqref="I50" formula="1"/>
  </ignoredErrors>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opLeftCell="A19" workbookViewId="0">
      <selection activeCell="L40" sqref="L40"/>
    </sheetView>
  </sheetViews>
  <sheetFormatPr defaultRowHeight="15" x14ac:dyDescent="0.25"/>
  <cols>
    <col min="1" max="1" width="9.140625" style="9"/>
    <col min="2" max="5" width="10.5703125" style="9" bestFit="1" customWidth="1"/>
    <col min="6" max="7" width="9.140625" style="9"/>
    <col min="8" max="9" width="10.5703125" style="9" bestFit="1" customWidth="1"/>
    <col min="10" max="16384" width="9.140625" style="9"/>
  </cols>
  <sheetData>
    <row r="1" spans="1:11" ht="15.75" x14ac:dyDescent="0.25">
      <c r="A1" s="72" t="s">
        <v>74</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c r="C3" s="13">
        <f>(3675 * 2) / 3</f>
        <v>2450</v>
      </c>
      <c r="D3" s="13"/>
      <c r="E3" s="13"/>
      <c r="G3" s="12" t="s">
        <v>80</v>
      </c>
      <c r="H3" s="13"/>
      <c r="I3" s="13"/>
      <c r="J3" s="13"/>
      <c r="K3" s="13"/>
    </row>
    <row r="4" spans="1:11" x14ac:dyDescent="0.25">
      <c r="A4" s="12" t="s">
        <v>81</v>
      </c>
      <c r="B4" s="13">
        <f>(10000) /3</f>
        <v>3333.3333333333335</v>
      </c>
      <c r="C4" s="13"/>
      <c r="D4" s="13"/>
      <c r="E4" s="13"/>
      <c r="G4" s="12" t="s">
        <v>81</v>
      </c>
      <c r="H4" s="13"/>
      <c r="I4" s="13"/>
      <c r="J4" s="13"/>
      <c r="K4" s="13"/>
    </row>
    <row r="5" spans="1:11" x14ac:dyDescent="0.25">
      <c r="A5" s="12" t="s">
        <v>82</v>
      </c>
      <c r="B5" s="13"/>
      <c r="C5" s="13">
        <f>(3675 *2) /3</f>
        <v>2450</v>
      </c>
      <c r="D5" s="13"/>
      <c r="E5" s="13"/>
      <c r="G5" s="12" t="s">
        <v>82</v>
      </c>
      <c r="H5" s="13"/>
      <c r="I5" s="13"/>
      <c r="J5" s="13"/>
      <c r="K5" s="13"/>
    </row>
    <row r="6" spans="1:11" x14ac:dyDescent="0.25">
      <c r="A6" s="12" t="s">
        <v>83</v>
      </c>
      <c r="B6" s="13">
        <f>10000 / 3</f>
        <v>3333.3333333333335</v>
      </c>
      <c r="C6" s="13"/>
      <c r="D6" s="13"/>
      <c r="E6" s="13"/>
      <c r="G6" s="12" t="s">
        <v>83</v>
      </c>
      <c r="H6" s="13"/>
      <c r="I6" s="13"/>
      <c r="J6" s="13"/>
      <c r="K6" s="13"/>
    </row>
    <row r="7" spans="1:11" x14ac:dyDescent="0.25">
      <c r="A7" s="12" t="s">
        <v>84</v>
      </c>
      <c r="B7" s="13"/>
      <c r="C7" s="13"/>
      <c r="D7" s="13"/>
      <c r="E7" s="13"/>
      <c r="G7" s="12" t="s">
        <v>84</v>
      </c>
      <c r="H7" s="13"/>
      <c r="I7" s="13"/>
      <c r="J7" s="13"/>
      <c r="K7" s="13"/>
    </row>
    <row r="8" spans="1:11" x14ac:dyDescent="0.25">
      <c r="A8" s="12" t="s">
        <v>85</v>
      </c>
      <c r="B8" s="13"/>
      <c r="C8" s="13"/>
      <c r="D8" s="13"/>
      <c r="E8" s="13"/>
      <c r="G8" s="12" t="s">
        <v>85</v>
      </c>
      <c r="H8" s="13"/>
      <c r="I8" s="13"/>
      <c r="J8" s="13"/>
      <c r="K8" s="13"/>
    </row>
    <row r="9" spans="1:11" x14ac:dyDescent="0.25">
      <c r="A9" s="12" t="s">
        <v>86</v>
      </c>
      <c r="B9" s="13"/>
      <c r="C9" s="13"/>
      <c r="D9" s="13"/>
      <c r="E9" s="13"/>
      <c r="G9" s="12" t="s">
        <v>86</v>
      </c>
      <c r="H9" s="13"/>
      <c r="I9" s="13"/>
      <c r="J9" s="13"/>
      <c r="K9" s="13"/>
    </row>
    <row r="10" spans="1:11" x14ac:dyDescent="0.25">
      <c r="A10" s="12" t="s">
        <v>87</v>
      </c>
      <c r="B10" s="13"/>
      <c r="C10" s="13"/>
      <c r="D10" s="13"/>
      <c r="E10" s="13"/>
      <c r="G10" s="12" t="s">
        <v>87</v>
      </c>
      <c r="H10" s="13"/>
      <c r="I10" s="13"/>
      <c r="J10" s="13"/>
      <c r="K10" s="13"/>
    </row>
    <row r="11" spans="1:11" x14ac:dyDescent="0.25">
      <c r="A11" s="12" t="s">
        <v>88</v>
      </c>
      <c r="B11" s="13"/>
      <c r="C11" s="13"/>
      <c r="D11" s="13"/>
      <c r="E11" s="13"/>
      <c r="G11" s="12" t="s">
        <v>88</v>
      </c>
      <c r="H11" s="13"/>
      <c r="I11" s="13"/>
      <c r="J11" s="13"/>
      <c r="K11" s="13"/>
    </row>
    <row r="12" spans="1:11" x14ac:dyDescent="0.25">
      <c r="A12" s="12" t="s">
        <v>89</v>
      </c>
      <c r="B12" s="13"/>
      <c r="C12" s="13"/>
      <c r="D12" s="13"/>
      <c r="E12" s="13"/>
      <c r="G12" s="12" t="s">
        <v>89</v>
      </c>
      <c r="H12" s="13"/>
      <c r="I12" s="13"/>
      <c r="J12" s="13"/>
      <c r="K12" s="13"/>
    </row>
    <row r="13" spans="1:11" x14ac:dyDescent="0.25">
      <c r="A13" s="12" t="s">
        <v>90</v>
      </c>
      <c r="B13" s="13"/>
      <c r="C13" s="13"/>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1" ht="15.75" thickBot="1" x14ac:dyDescent="0.3">
      <c r="A17" s="11" t="s">
        <v>94</v>
      </c>
      <c r="B17" s="16">
        <f>AVERAGE(B3:B16)</f>
        <v>3333.3333333333335</v>
      </c>
      <c r="C17" s="16">
        <f>AVERAGE(C3:C16)</f>
        <v>2450</v>
      </c>
      <c r="D17" s="16"/>
      <c r="E17" s="16"/>
      <c r="G17" s="11" t="s">
        <v>94</v>
      </c>
      <c r="H17" s="16"/>
      <c r="I17" s="16"/>
      <c r="J17" s="16"/>
      <c r="K17" s="16"/>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80</v>
      </c>
      <c r="H21" s="13">
        <f>(3030 * 2) /3</f>
        <v>2020</v>
      </c>
      <c r="J21" s="13"/>
      <c r="K21" s="13"/>
    </row>
    <row r="22" spans="1:11" x14ac:dyDescent="0.25">
      <c r="A22" s="12" t="s">
        <v>81</v>
      </c>
      <c r="B22" s="13"/>
      <c r="C22" s="13"/>
      <c r="D22" s="13"/>
      <c r="E22" s="13"/>
      <c r="G22" s="12" t="s">
        <v>81</v>
      </c>
      <c r="H22" s="13">
        <f>(3030 * 2) /3</f>
        <v>2020</v>
      </c>
      <c r="I22" s="13"/>
      <c r="J22" s="13"/>
      <c r="K22" s="13"/>
    </row>
    <row r="23" spans="1:11" x14ac:dyDescent="0.25">
      <c r="A23" s="12" t="s">
        <v>82</v>
      </c>
      <c r="B23" s="13"/>
      <c r="C23" s="13"/>
      <c r="D23" s="13"/>
      <c r="E23" s="13"/>
      <c r="G23" s="12" t="s">
        <v>82</v>
      </c>
      <c r="H23" s="13">
        <f>(3030 * 2) /3</f>
        <v>2020</v>
      </c>
      <c r="I23" s="13"/>
      <c r="J23" s="13"/>
      <c r="K23" s="13"/>
    </row>
    <row r="24" spans="1:11" x14ac:dyDescent="0.25">
      <c r="A24" s="12" t="s">
        <v>83</v>
      </c>
      <c r="B24" s="13"/>
      <c r="C24" s="13"/>
      <c r="D24" s="13"/>
      <c r="E24" s="13"/>
      <c r="G24" s="12" t="s">
        <v>83</v>
      </c>
      <c r="H24" s="13">
        <f>(2670 * 2) /3</f>
        <v>1780</v>
      </c>
      <c r="I24" s="13"/>
      <c r="J24" s="13"/>
      <c r="K24" s="13"/>
    </row>
    <row r="25" spans="1:11" x14ac:dyDescent="0.25">
      <c r="A25" s="12" t="s">
        <v>84</v>
      </c>
      <c r="B25" s="13"/>
      <c r="C25" s="13"/>
      <c r="D25" s="13"/>
      <c r="E25" s="13"/>
      <c r="G25" s="12" t="s">
        <v>84</v>
      </c>
      <c r="H25" s="13"/>
      <c r="I25" s="13">
        <f>(1900 * 2) / 3</f>
        <v>1266.6666666666667</v>
      </c>
      <c r="J25" s="13"/>
      <c r="K25" s="13"/>
    </row>
    <row r="26" spans="1:11" x14ac:dyDescent="0.25">
      <c r="A26" s="12" t="s">
        <v>85</v>
      </c>
      <c r="B26" s="13"/>
      <c r="C26" s="13"/>
      <c r="D26" s="13"/>
      <c r="E26" s="13"/>
      <c r="G26" s="12" t="s">
        <v>85</v>
      </c>
      <c r="H26" s="13"/>
      <c r="I26" s="13"/>
      <c r="J26" s="13"/>
      <c r="K26" s="13"/>
    </row>
    <row r="27" spans="1:11" x14ac:dyDescent="0.25">
      <c r="A27" s="12" t="s">
        <v>86</v>
      </c>
      <c r="B27" s="13"/>
      <c r="C27" s="13"/>
      <c r="D27" s="13"/>
      <c r="E27" s="13"/>
      <c r="G27" s="12" t="s">
        <v>86</v>
      </c>
      <c r="H27" s="13"/>
      <c r="I27" s="13"/>
      <c r="J27" s="13"/>
      <c r="K27" s="13"/>
    </row>
    <row r="28" spans="1:11" x14ac:dyDescent="0.25">
      <c r="A28" s="12" t="s">
        <v>87</v>
      </c>
      <c r="B28" s="13"/>
      <c r="C28" s="13"/>
      <c r="D28" s="13"/>
      <c r="E28" s="13"/>
      <c r="G28" s="12" t="s">
        <v>87</v>
      </c>
      <c r="H28" s="13"/>
      <c r="I28" s="13"/>
      <c r="J28" s="13"/>
      <c r="K28" s="13"/>
    </row>
    <row r="29" spans="1:11" x14ac:dyDescent="0.25">
      <c r="A29" s="12" t="s">
        <v>88</v>
      </c>
      <c r="B29" s="13"/>
      <c r="C29" s="13"/>
      <c r="D29" s="13"/>
      <c r="E29" s="13"/>
      <c r="G29" s="12" t="s">
        <v>88</v>
      </c>
      <c r="H29" s="13"/>
      <c r="I29" s="13"/>
      <c r="J29" s="13"/>
      <c r="K29" s="13"/>
    </row>
    <row r="30" spans="1:11" x14ac:dyDescent="0.25">
      <c r="A30" s="12" t="s">
        <v>89</v>
      </c>
      <c r="B30" s="13"/>
      <c r="C30" s="13"/>
      <c r="D30" s="13"/>
      <c r="E30" s="13"/>
      <c r="G30" s="12" t="s">
        <v>89</v>
      </c>
      <c r="H30" s="13"/>
      <c r="I30" s="13"/>
      <c r="J30" s="13"/>
      <c r="K30" s="13"/>
    </row>
    <row r="31" spans="1:11" x14ac:dyDescent="0.25">
      <c r="A31" s="12" t="s">
        <v>90</v>
      </c>
      <c r="B31" s="13"/>
      <c r="C31" s="13"/>
      <c r="D31" s="13"/>
      <c r="E31" s="13"/>
      <c r="G31" s="12" t="s">
        <v>90</v>
      </c>
      <c r="H31" s="13"/>
      <c r="I31" s="13"/>
      <c r="J31" s="13"/>
      <c r="K31" s="13"/>
    </row>
    <row r="32" spans="1:11"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f>AVERAGE(H21:H34)</f>
        <v>1960</v>
      </c>
      <c r="I35" s="16">
        <f>AVERAGE(I21:I34)</f>
        <v>1266.6666666666667</v>
      </c>
      <c r="J35" s="16"/>
      <c r="K35" s="16"/>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t="s">
        <v>144</v>
      </c>
      <c r="C40" s="13" t="s">
        <v>136</v>
      </c>
      <c r="D40" s="23">
        <f>250 + (250 * 0.08)</f>
        <v>270</v>
      </c>
      <c r="E40" s="13">
        <f>(375 * 2) / 3</f>
        <v>250</v>
      </c>
    </row>
    <row r="41" spans="1:11" x14ac:dyDescent="0.25">
      <c r="A41" s="12" t="s">
        <v>103</v>
      </c>
      <c r="B41" s="13" t="s">
        <v>144</v>
      </c>
      <c r="C41" s="13" t="s">
        <v>141</v>
      </c>
      <c r="D41" s="23">
        <f>1150 + (1150 * 0.08)</f>
        <v>1242</v>
      </c>
      <c r="E41" s="13">
        <v>1150</v>
      </c>
    </row>
    <row r="42" spans="1:11" x14ac:dyDescent="0.25">
      <c r="A42" s="12" t="s">
        <v>104</v>
      </c>
      <c r="B42" s="13" t="s">
        <v>144</v>
      </c>
      <c r="C42" s="13" t="s">
        <v>141</v>
      </c>
      <c r="D42" s="23">
        <f>1675 + (1675 * 0.08)</f>
        <v>1809</v>
      </c>
      <c r="E42" s="13">
        <v>1675</v>
      </c>
    </row>
    <row r="43" spans="1:11" x14ac:dyDescent="0.25">
      <c r="A43" s="12" t="s">
        <v>105</v>
      </c>
      <c r="B43" s="13" t="s">
        <v>144</v>
      </c>
      <c r="C43" s="13" t="s">
        <v>141</v>
      </c>
      <c r="D43" s="23">
        <f>2100 + (2100 * 0.08)</f>
        <v>2268</v>
      </c>
      <c r="E43" s="13">
        <v>2100</v>
      </c>
    </row>
    <row r="44" spans="1:11" x14ac:dyDescent="0.25">
      <c r="A44" s="12" t="s">
        <v>106</v>
      </c>
      <c r="B44" s="13"/>
      <c r="C44" s="13"/>
      <c r="D44" s="13"/>
      <c r="E44" s="13"/>
    </row>
    <row r="45" spans="1:11" x14ac:dyDescent="0.25">
      <c r="A45" s="12" t="s">
        <v>107</v>
      </c>
      <c r="B45" s="13"/>
      <c r="C45" s="13"/>
      <c r="D45" s="13"/>
      <c r="E45" s="13"/>
    </row>
    <row r="46" spans="1:11" x14ac:dyDescent="0.25">
      <c r="A46" s="12" t="s">
        <v>108</v>
      </c>
      <c r="B46" s="13"/>
      <c r="C46" s="13"/>
      <c r="D46" s="13"/>
      <c r="E46" s="13"/>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AVERAGE(E40:E53)</f>
        <v>1293.75</v>
      </c>
    </row>
  </sheetData>
  <mergeCells count="5">
    <mergeCell ref="A1:E1"/>
    <mergeCell ref="G1:K1"/>
    <mergeCell ref="A19:E19"/>
    <mergeCell ref="G19:K19"/>
    <mergeCell ref="A38:E3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topLeftCell="A22" workbookViewId="0">
      <selection activeCell="E54" sqref="E54"/>
    </sheetView>
  </sheetViews>
  <sheetFormatPr defaultRowHeight="15" x14ac:dyDescent="0.25"/>
  <cols>
    <col min="1" max="1" width="9.140625" style="9"/>
    <col min="2" max="3" width="10.5703125" style="9" bestFit="1" customWidth="1"/>
    <col min="4" max="4" width="14" style="9" bestFit="1" customWidth="1"/>
    <col min="5" max="5" width="10.5703125" style="9" bestFit="1" customWidth="1"/>
    <col min="6" max="7" width="9.140625" style="9"/>
    <col min="8" max="9" width="10.5703125" style="9" bestFit="1" customWidth="1"/>
    <col min="10" max="16384" width="9.140625" style="9"/>
  </cols>
  <sheetData>
    <row r="1" spans="1:13" ht="15.75" x14ac:dyDescent="0.25">
      <c r="A1" s="72" t="s">
        <v>74</v>
      </c>
      <c r="B1" s="72"/>
      <c r="C1" s="72"/>
      <c r="D1" s="72"/>
      <c r="E1" s="72"/>
      <c r="G1" s="72" t="s">
        <v>75</v>
      </c>
      <c r="H1" s="72"/>
      <c r="I1" s="72"/>
      <c r="J1" s="72"/>
      <c r="K1" s="72"/>
    </row>
    <row r="2" spans="1:13" x14ac:dyDescent="0.25">
      <c r="A2" s="12"/>
      <c r="B2" s="17" t="s">
        <v>76</v>
      </c>
      <c r="C2" s="17" t="s">
        <v>77</v>
      </c>
      <c r="D2" s="17" t="s">
        <v>78</v>
      </c>
      <c r="E2" s="17" t="s">
        <v>79</v>
      </c>
      <c r="F2" s="10"/>
      <c r="G2" s="17"/>
      <c r="H2" s="17" t="s">
        <v>76</v>
      </c>
      <c r="I2" s="17" t="s">
        <v>77</v>
      </c>
      <c r="J2" s="17" t="s">
        <v>78</v>
      </c>
      <c r="K2" s="17" t="s">
        <v>79</v>
      </c>
    </row>
    <row r="3" spans="1:13" x14ac:dyDescent="0.25">
      <c r="A3" s="12" t="s">
        <v>80</v>
      </c>
      <c r="B3" s="13">
        <f>(4102*2)/3</f>
        <v>2734.6666666666665</v>
      </c>
      <c r="C3" s="13">
        <f>(3433*2)/3</f>
        <v>2288.6666666666665</v>
      </c>
      <c r="D3" s="13"/>
      <c r="E3" s="13"/>
      <c r="G3" s="12" t="s">
        <v>80</v>
      </c>
      <c r="H3" s="13"/>
      <c r="I3" s="13">
        <f>(3998*2)/3</f>
        <v>2665.3333333333335</v>
      </c>
      <c r="J3" s="13"/>
      <c r="K3" s="13"/>
    </row>
    <row r="4" spans="1:13" x14ac:dyDescent="0.25">
      <c r="A4" s="12" t="s">
        <v>81</v>
      </c>
      <c r="B4" s="13">
        <f>(4102*2)/3</f>
        <v>2734.6666666666665</v>
      </c>
      <c r="C4" s="13"/>
      <c r="D4" s="13"/>
      <c r="E4" s="13"/>
      <c r="G4" s="12" t="s">
        <v>81</v>
      </c>
      <c r="H4" s="13"/>
      <c r="I4" s="13"/>
      <c r="J4" s="13"/>
      <c r="K4" s="13"/>
    </row>
    <row r="5" spans="1:13" x14ac:dyDescent="0.25">
      <c r="A5" s="12" t="s">
        <v>82</v>
      </c>
      <c r="B5" s="13">
        <f>(3709*2)/3</f>
        <v>2472.6666666666665</v>
      </c>
      <c r="C5" s="13">
        <f>(3040*2)/3</f>
        <v>2026.6666666666667</v>
      </c>
      <c r="D5" s="13"/>
      <c r="E5" s="13"/>
      <c r="G5" s="12" t="s">
        <v>82</v>
      </c>
      <c r="H5" s="13"/>
      <c r="I5" s="13"/>
      <c r="J5" s="13"/>
      <c r="K5" s="13"/>
    </row>
    <row r="6" spans="1:13" x14ac:dyDescent="0.25">
      <c r="A6" s="12" t="s">
        <v>83</v>
      </c>
      <c r="B6" s="13">
        <f>(3610*2)/3</f>
        <v>2406.6666666666665</v>
      </c>
      <c r="C6" s="13"/>
      <c r="D6" s="13"/>
      <c r="E6" s="13"/>
      <c r="G6" s="12" t="s">
        <v>83</v>
      </c>
      <c r="H6" s="13"/>
      <c r="I6" s="13"/>
      <c r="J6" s="13"/>
      <c r="K6" s="13"/>
    </row>
    <row r="7" spans="1:13" x14ac:dyDescent="0.25">
      <c r="A7" s="12" t="s">
        <v>84</v>
      </c>
      <c r="B7" s="13"/>
      <c r="C7" s="13">
        <f>(2941*2)/3</f>
        <v>1960.6666666666667</v>
      </c>
      <c r="D7" s="13"/>
      <c r="E7" s="13"/>
      <c r="G7" s="12" t="s">
        <v>84</v>
      </c>
      <c r="H7" s="13"/>
      <c r="I7" s="13"/>
      <c r="J7" s="13"/>
      <c r="K7" s="13"/>
    </row>
    <row r="8" spans="1:13" x14ac:dyDescent="0.25">
      <c r="A8" s="12" t="s">
        <v>85</v>
      </c>
      <c r="B8" s="13"/>
      <c r="C8" s="13"/>
      <c r="D8" s="13">
        <f>(2800*2)/3</f>
        <v>1866.6666666666667</v>
      </c>
      <c r="E8" s="13"/>
      <c r="G8" s="12" t="s">
        <v>85</v>
      </c>
      <c r="H8" s="13"/>
      <c r="I8" s="13"/>
      <c r="J8" s="13"/>
      <c r="K8" s="13"/>
    </row>
    <row r="9" spans="1:13" x14ac:dyDescent="0.25">
      <c r="A9" s="12" t="s">
        <v>86</v>
      </c>
      <c r="B9" s="13"/>
      <c r="C9" s="13"/>
      <c r="D9" s="13"/>
      <c r="E9" s="13">
        <f>(2657*2)/3</f>
        <v>1771.3333333333333</v>
      </c>
      <c r="G9" s="12" t="s">
        <v>86</v>
      </c>
      <c r="H9" s="13"/>
      <c r="I9" s="13"/>
      <c r="J9" s="13"/>
      <c r="K9" s="13"/>
      <c r="M9" s="9" t="s">
        <v>204</v>
      </c>
    </row>
    <row r="10" spans="1:13" x14ac:dyDescent="0.25">
      <c r="A10" s="12" t="s">
        <v>87</v>
      </c>
      <c r="B10" s="13"/>
      <c r="C10" s="13"/>
      <c r="D10" s="13"/>
      <c r="E10" s="13"/>
      <c r="G10" s="12" t="s">
        <v>87</v>
      </c>
      <c r="H10" s="13"/>
      <c r="I10" s="13"/>
      <c r="J10" s="13"/>
      <c r="K10" s="13"/>
    </row>
    <row r="11" spans="1:13" x14ac:dyDescent="0.25">
      <c r="A11" s="12" t="s">
        <v>88</v>
      </c>
      <c r="B11" s="13"/>
      <c r="C11" s="13"/>
      <c r="D11" s="13"/>
      <c r="E11" s="13"/>
      <c r="G11" s="12" t="s">
        <v>88</v>
      </c>
      <c r="H11" s="13"/>
      <c r="I11" s="13"/>
      <c r="J11" s="13"/>
      <c r="K11" s="13"/>
    </row>
    <row r="12" spans="1:13" x14ac:dyDescent="0.25">
      <c r="A12" s="12" t="s">
        <v>89</v>
      </c>
      <c r="B12" s="13"/>
      <c r="C12" s="13"/>
      <c r="D12" s="13"/>
      <c r="E12" s="13"/>
      <c r="G12" s="12" t="s">
        <v>89</v>
      </c>
      <c r="H12" s="13"/>
      <c r="I12" s="13"/>
      <c r="J12" s="13"/>
      <c r="K12" s="13"/>
    </row>
    <row r="13" spans="1:13" x14ac:dyDescent="0.25">
      <c r="A13" s="12" t="s">
        <v>90</v>
      </c>
      <c r="B13" s="13"/>
      <c r="C13" s="13"/>
      <c r="D13" s="13"/>
      <c r="E13" s="13"/>
      <c r="G13" s="12" t="s">
        <v>90</v>
      </c>
      <c r="H13" s="13"/>
      <c r="I13" s="13"/>
      <c r="J13" s="13"/>
      <c r="K13" s="13"/>
    </row>
    <row r="14" spans="1:13" x14ac:dyDescent="0.25">
      <c r="A14" s="12" t="s">
        <v>91</v>
      </c>
      <c r="B14" s="13"/>
      <c r="C14" s="13"/>
      <c r="D14" s="13"/>
      <c r="E14" s="13"/>
      <c r="G14" s="12" t="s">
        <v>91</v>
      </c>
      <c r="H14" s="13"/>
      <c r="I14" s="13"/>
      <c r="J14" s="13"/>
      <c r="K14" s="13"/>
    </row>
    <row r="15" spans="1:13" x14ac:dyDescent="0.25">
      <c r="A15" s="12" t="s">
        <v>92</v>
      </c>
      <c r="B15" s="13"/>
      <c r="C15" s="13"/>
      <c r="D15" s="13"/>
      <c r="E15" s="13"/>
      <c r="G15" s="12" t="s">
        <v>92</v>
      </c>
      <c r="H15" s="13"/>
      <c r="I15" s="13"/>
      <c r="J15" s="13"/>
      <c r="K15" s="13"/>
    </row>
    <row r="16" spans="1:13" ht="15.75" thickBot="1" x14ac:dyDescent="0.3">
      <c r="A16" s="14" t="s">
        <v>93</v>
      </c>
      <c r="B16" s="15"/>
      <c r="C16" s="15"/>
      <c r="D16" s="15"/>
      <c r="E16" s="15"/>
      <c r="G16" s="14" t="s">
        <v>93</v>
      </c>
      <c r="H16" s="15"/>
      <c r="I16" s="15"/>
      <c r="J16" s="15"/>
      <c r="K16" s="15"/>
    </row>
    <row r="17" spans="1:11" ht="15.75" thickBot="1" x14ac:dyDescent="0.3">
      <c r="A17" s="11" t="s">
        <v>94</v>
      </c>
      <c r="B17" s="16">
        <f>AVERAGE(B3:B16)</f>
        <v>2587.1666666666665</v>
      </c>
      <c r="C17" s="16">
        <f t="shared" ref="C17:E17" si="0">AVERAGE(C3:C16)</f>
        <v>2092</v>
      </c>
      <c r="D17" s="16">
        <f t="shared" si="0"/>
        <v>1866.6666666666667</v>
      </c>
      <c r="E17" s="16">
        <f t="shared" si="0"/>
        <v>1771.3333333333333</v>
      </c>
      <c r="G17" s="11" t="s">
        <v>94</v>
      </c>
      <c r="H17" s="16"/>
      <c r="I17" s="16">
        <f>AVERAGE(I3:I16)</f>
        <v>2665.3333333333335</v>
      </c>
      <c r="J17" s="16"/>
      <c r="K17" s="16"/>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80</v>
      </c>
      <c r="H21" s="13">
        <f>(4626*2)/3</f>
        <v>3084</v>
      </c>
      <c r="I21" s="13">
        <f>(3807*2)/3</f>
        <v>2538</v>
      </c>
      <c r="J21" s="13"/>
      <c r="K21" s="13"/>
    </row>
    <row r="22" spans="1:11" x14ac:dyDescent="0.25">
      <c r="A22" s="12" t="s">
        <v>81</v>
      </c>
      <c r="B22" s="13"/>
      <c r="C22" s="13"/>
      <c r="D22" s="13"/>
      <c r="E22" s="13"/>
      <c r="G22" s="12" t="s">
        <v>81</v>
      </c>
      <c r="H22" s="13"/>
      <c r="I22" s="13"/>
      <c r="J22" s="13"/>
      <c r="K22" s="13"/>
    </row>
    <row r="23" spans="1:11" x14ac:dyDescent="0.25">
      <c r="A23" s="12" t="s">
        <v>82</v>
      </c>
      <c r="B23" s="13"/>
      <c r="C23" s="13"/>
      <c r="D23" s="13"/>
      <c r="E23" s="13"/>
      <c r="G23" s="12" t="s">
        <v>82</v>
      </c>
      <c r="H23" s="13"/>
      <c r="I23" s="13"/>
      <c r="J23" s="13"/>
      <c r="K23" s="13"/>
    </row>
    <row r="24" spans="1:11" x14ac:dyDescent="0.25">
      <c r="A24" s="12" t="s">
        <v>83</v>
      </c>
      <c r="B24" s="13"/>
      <c r="C24" s="13"/>
      <c r="D24" s="13"/>
      <c r="E24" s="13"/>
      <c r="G24" s="12" t="s">
        <v>83</v>
      </c>
      <c r="H24" s="13"/>
      <c r="I24" s="13"/>
      <c r="J24" s="13"/>
      <c r="K24" s="13"/>
    </row>
    <row r="25" spans="1:11" x14ac:dyDescent="0.25">
      <c r="A25" s="12" t="s">
        <v>84</v>
      </c>
      <c r="B25" s="13"/>
      <c r="C25" s="13"/>
      <c r="D25" s="13"/>
      <c r="E25" s="13"/>
      <c r="G25" s="12" t="s">
        <v>84</v>
      </c>
      <c r="H25" s="13"/>
      <c r="I25" s="13"/>
      <c r="J25" s="13"/>
      <c r="K25" s="13"/>
    </row>
    <row r="26" spans="1:11" x14ac:dyDescent="0.25">
      <c r="A26" s="12" t="s">
        <v>85</v>
      </c>
      <c r="B26" s="13"/>
      <c r="C26" s="13"/>
      <c r="D26" s="13"/>
      <c r="E26" s="13"/>
      <c r="G26" s="12" t="s">
        <v>85</v>
      </c>
      <c r="H26" s="13"/>
      <c r="I26" s="13"/>
      <c r="J26" s="13"/>
      <c r="K26" s="13"/>
    </row>
    <row r="27" spans="1:11" x14ac:dyDescent="0.25">
      <c r="A27" s="12" t="s">
        <v>86</v>
      </c>
      <c r="B27" s="13"/>
      <c r="C27" s="13"/>
      <c r="D27" s="13"/>
      <c r="E27" s="13"/>
      <c r="G27" s="12" t="s">
        <v>86</v>
      </c>
      <c r="H27" s="13"/>
      <c r="I27" s="13"/>
      <c r="J27" s="13"/>
      <c r="K27" s="13"/>
    </row>
    <row r="28" spans="1:11" x14ac:dyDescent="0.25">
      <c r="A28" s="12" t="s">
        <v>87</v>
      </c>
      <c r="B28" s="13"/>
      <c r="C28" s="13"/>
      <c r="D28" s="13"/>
      <c r="E28" s="13"/>
      <c r="G28" s="12" t="s">
        <v>87</v>
      </c>
      <c r="H28" s="13"/>
      <c r="I28" s="13"/>
      <c r="J28" s="13"/>
      <c r="K28" s="13"/>
    </row>
    <row r="29" spans="1:11" x14ac:dyDescent="0.25">
      <c r="A29" s="12" t="s">
        <v>88</v>
      </c>
      <c r="B29" s="13"/>
      <c r="C29" s="13"/>
      <c r="D29" s="13"/>
      <c r="E29" s="13"/>
      <c r="G29" s="12" t="s">
        <v>88</v>
      </c>
      <c r="H29" s="13"/>
      <c r="I29" s="13"/>
      <c r="J29" s="13"/>
      <c r="K29" s="13"/>
    </row>
    <row r="30" spans="1:11" x14ac:dyDescent="0.25">
      <c r="A30" s="12" t="s">
        <v>89</v>
      </c>
      <c r="B30" s="13"/>
      <c r="C30" s="13"/>
      <c r="D30" s="13"/>
      <c r="E30" s="13"/>
      <c r="G30" s="12" t="s">
        <v>89</v>
      </c>
      <c r="H30" s="13"/>
      <c r="I30" s="13"/>
      <c r="J30" s="13"/>
      <c r="K30" s="13"/>
    </row>
    <row r="31" spans="1:11" x14ac:dyDescent="0.25">
      <c r="A31" s="12" t="s">
        <v>90</v>
      </c>
      <c r="B31" s="13"/>
      <c r="C31" s="13"/>
      <c r="D31" s="13"/>
      <c r="E31" s="13"/>
      <c r="G31" s="12" t="s">
        <v>90</v>
      </c>
      <c r="H31" s="13"/>
      <c r="I31" s="13"/>
      <c r="J31" s="13"/>
      <c r="K31" s="13"/>
    </row>
    <row r="32" spans="1:11"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f>AVERAGE(H21:H34)</f>
        <v>3084</v>
      </c>
      <c r="I35" s="16">
        <f>AVERAGE(I21:I34)</f>
        <v>2538</v>
      </c>
      <c r="J35" s="16"/>
      <c r="K35" s="16"/>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t="s">
        <v>128</v>
      </c>
      <c r="C40" s="13" t="s">
        <v>136</v>
      </c>
      <c r="D40" s="13" t="s">
        <v>233</v>
      </c>
      <c r="E40" s="13">
        <f>(1987*2)/3</f>
        <v>1324.6666666666667</v>
      </c>
    </row>
    <row r="41" spans="1:11" x14ac:dyDescent="0.25">
      <c r="A41" s="12" t="s">
        <v>103</v>
      </c>
      <c r="B41" s="13" t="s">
        <v>128</v>
      </c>
      <c r="C41" s="13" t="s">
        <v>136</v>
      </c>
      <c r="D41" s="13" t="s">
        <v>232</v>
      </c>
      <c r="E41" s="13">
        <f>(1906*2)/3</f>
        <v>1270.6666666666667</v>
      </c>
    </row>
    <row r="42" spans="1:11" x14ac:dyDescent="0.25">
      <c r="A42" s="12" t="s">
        <v>104</v>
      </c>
      <c r="B42" s="13" t="s">
        <v>128</v>
      </c>
      <c r="C42" s="13" t="s">
        <v>136</v>
      </c>
      <c r="D42" s="13" t="s">
        <v>234</v>
      </c>
      <c r="E42" s="13">
        <f>(1071*2)/3</f>
        <v>714</v>
      </c>
    </row>
    <row r="43" spans="1:11" x14ac:dyDescent="0.25">
      <c r="A43" s="12" t="s">
        <v>105</v>
      </c>
      <c r="B43" s="13" t="s">
        <v>128</v>
      </c>
      <c r="C43" s="13" t="s">
        <v>136</v>
      </c>
      <c r="D43" s="13" t="s">
        <v>235</v>
      </c>
      <c r="E43" s="13">
        <f>(1071*2)/3</f>
        <v>714</v>
      </c>
    </row>
    <row r="44" spans="1:11" x14ac:dyDescent="0.25">
      <c r="A44" s="12" t="s">
        <v>106</v>
      </c>
      <c r="B44" s="13" t="s">
        <v>237</v>
      </c>
      <c r="C44" s="13" t="s">
        <v>136</v>
      </c>
      <c r="D44" s="13" t="s">
        <v>239</v>
      </c>
      <c r="E44" s="13">
        <f>(2500*2)/3</f>
        <v>1666.6666666666667</v>
      </c>
    </row>
    <row r="45" spans="1:11" x14ac:dyDescent="0.25">
      <c r="A45" s="12" t="s">
        <v>107</v>
      </c>
      <c r="B45" s="13" t="s">
        <v>237</v>
      </c>
      <c r="C45" s="13" t="s">
        <v>136</v>
      </c>
      <c r="D45" s="13" t="s">
        <v>238</v>
      </c>
      <c r="E45" s="13">
        <f>(800*2)/3</f>
        <v>533.33333333333337</v>
      </c>
    </row>
    <row r="46" spans="1:11" x14ac:dyDescent="0.25">
      <c r="A46" s="12" t="s">
        <v>108</v>
      </c>
      <c r="B46" s="13" t="s">
        <v>128</v>
      </c>
      <c r="C46" s="13" t="s">
        <v>136</v>
      </c>
      <c r="D46" s="13" t="s">
        <v>236</v>
      </c>
      <c r="E46" s="13">
        <f>(750*2)/3</f>
        <v>500</v>
      </c>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AVERAGE(E40:E44)</f>
        <v>1138</v>
      </c>
    </row>
  </sheetData>
  <mergeCells count="5">
    <mergeCell ref="A1:E1"/>
    <mergeCell ref="G1:K1"/>
    <mergeCell ref="A19:E19"/>
    <mergeCell ref="G19:K19"/>
    <mergeCell ref="A38:E3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opLeftCell="A22" workbookViewId="0">
      <selection activeCell="L46" sqref="L46"/>
    </sheetView>
  </sheetViews>
  <sheetFormatPr defaultRowHeight="15" x14ac:dyDescent="0.25"/>
  <cols>
    <col min="1" max="1" width="9.140625" style="9"/>
    <col min="2" max="5" width="10.5703125" style="9" bestFit="1" customWidth="1"/>
    <col min="6" max="7" width="9.140625" style="9"/>
    <col min="8" max="9" width="10.5703125" style="9" bestFit="1" customWidth="1"/>
    <col min="10" max="16384" width="9.140625" style="9"/>
  </cols>
  <sheetData>
    <row r="1" spans="1:11" ht="15.75" x14ac:dyDescent="0.25">
      <c r="A1" s="72" t="s">
        <v>74</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f>(5028)/3</f>
        <v>1676</v>
      </c>
      <c r="C3" s="13">
        <f>(4320)/3</f>
        <v>1440</v>
      </c>
      <c r="D3" s="13"/>
      <c r="E3" s="13"/>
      <c r="G3" s="12" t="s">
        <v>80</v>
      </c>
      <c r="H3" s="13"/>
      <c r="I3" s="13">
        <f>(4748)/3</f>
        <v>1582.6666666666667</v>
      </c>
      <c r="J3" s="13"/>
      <c r="K3" s="13"/>
    </row>
    <row r="4" spans="1:11" x14ac:dyDescent="0.25">
      <c r="A4" s="12" t="s">
        <v>81</v>
      </c>
      <c r="B4" s="13"/>
      <c r="C4" s="13"/>
      <c r="D4" s="13"/>
      <c r="E4" s="13"/>
      <c r="G4" s="12" t="s">
        <v>81</v>
      </c>
      <c r="H4" s="13">
        <f>(5532)/3</f>
        <v>1844</v>
      </c>
      <c r="I4" s="13"/>
      <c r="J4" s="13"/>
      <c r="K4" s="13"/>
    </row>
    <row r="5" spans="1:11" x14ac:dyDescent="0.25">
      <c r="A5" s="12" t="s">
        <v>82</v>
      </c>
      <c r="B5" s="13"/>
      <c r="C5" s="13"/>
      <c r="D5" s="13"/>
      <c r="E5" s="13"/>
      <c r="G5" s="12" t="s">
        <v>82</v>
      </c>
      <c r="H5" s="13"/>
      <c r="I5" s="13"/>
      <c r="J5" s="13"/>
      <c r="K5" s="13"/>
    </row>
    <row r="6" spans="1:11" x14ac:dyDescent="0.25">
      <c r="A6" s="12" t="s">
        <v>83</v>
      </c>
      <c r="B6" s="13"/>
      <c r="C6" s="13"/>
      <c r="D6" s="13"/>
      <c r="E6" s="13"/>
      <c r="G6" s="12" t="s">
        <v>83</v>
      </c>
      <c r="H6" s="13"/>
      <c r="I6" s="13"/>
      <c r="J6" s="13"/>
      <c r="K6" s="13"/>
    </row>
    <row r="7" spans="1:11" x14ac:dyDescent="0.25">
      <c r="A7" s="12" t="s">
        <v>84</v>
      </c>
      <c r="B7" s="13"/>
      <c r="C7" s="13"/>
      <c r="D7" s="13"/>
      <c r="E7" s="13"/>
      <c r="G7" s="12" t="s">
        <v>84</v>
      </c>
      <c r="H7" s="13"/>
      <c r="I7" s="13"/>
      <c r="J7" s="13"/>
      <c r="K7" s="13"/>
    </row>
    <row r="8" spans="1:11" x14ac:dyDescent="0.25">
      <c r="A8" s="12" t="s">
        <v>85</v>
      </c>
      <c r="B8" s="13"/>
      <c r="C8" s="13"/>
      <c r="D8" s="13"/>
      <c r="E8" s="13"/>
      <c r="G8" s="12" t="s">
        <v>85</v>
      </c>
      <c r="H8" s="13"/>
      <c r="I8" s="13"/>
      <c r="J8" s="13"/>
      <c r="K8" s="13"/>
    </row>
    <row r="9" spans="1:11" x14ac:dyDescent="0.25">
      <c r="A9" s="12" t="s">
        <v>86</v>
      </c>
      <c r="B9" s="13"/>
      <c r="C9" s="13"/>
      <c r="D9" s="13"/>
      <c r="E9" s="13"/>
      <c r="G9" s="12" t="s">
        <v>86</v>
      </c>
      <c r="H9" s="13"/>
      <c r="I9" s="13"/>
      <c r="J9" s="13"/>
      <c r="K9" s="13"/>
    </row>
    <row r="10" spans="1:11" x14ac:dyDescent="0.25">
      <c r="A10" s="12" t="s">
        <v>87</v>
      </c>
      <c r="B10" s="13"/>
      <c r="C10" s="13"/>
      <c r="D10" s="13"/>
      <c r="E10" s="13"/>
      <c r="G10" s="12" t="s">
        <v>87</v>
      </c>
      <c r="H10" s="13"/>
      <c r="I10" s="13"/>
      <c r="J10" s="13"/>
      <c r="K10" s="13"/>
    </row>
    <row r="11" spans="1:11" x14ac:dyDescent="0.25">
      <c r="A11" s="12" t="s">
        <v>88</v>
      </c>
      <c r="B11" s="13"/>
      <c r="C11" s="13"/>
      <c r="D11" s="13"/>
      <c r="E11" s="13"/>
      <c r="G11" s="12" t="s">
        <v>88</v>
      </c>
      <c r="H11" s="13"/>
      <c r="I11" s="13"/>
      <c r="J11" s="13"/>
      <c r="K11" s="13"/>
    </row>
    <row r="12" spans="1:11" x14ac:dyDescent="0.25">
      <c r="A12" s="12" t="s">
        <v>89</v>
      </c>
      <c r="B12" s="13"/>
      <c r="C12" s="13"/>
      <c r="D12" s="13"/>
      <c r="E12" s="13"/>
      <c r="G12" s="12" t="s">
        <v>89</v>
      </c>
      <c r="H12" s="13"/>
      <c r="I12" s="13"/>
      <c r="J12" s="13"/>
      <c r="K12" s="13"/>
    </row>
    <row r="13" spans="1:11" x14ac:dyDescent="0.25">
      <c r="A13" s="12" t="s">
        <v>90</v>
      </c>
      <c r="B13" s="13"/>
      <c r="C13" s="13"/>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1" ht="15.75" thickBot="1" x14ac:dyDescent="0.3">
      <c r="A17" s="11" t="s">
        <v>94</v>
      </c>
      <c r="B17" s="16">
        <f>AVERAGE(B3:B16)</f>
        <v>1676</v>
      </c>
      <c r="C17" s="16">
        <f>AVERAGE(C3:C16)</f>
        <v>1440</v>
      </c>
      <c r="D17" s="16"/>
      <c r="E17" s="16"/>
      <c r="G17" s="11" t="s">
        <v>94</v>
      </c>
      <c r="H17" s="16">
        <f>AVERAGE(H3:H16)</f>
        <v>1844</v>
      </c>
      <c r="I17" s="16">
        <f>AVERAGE(I3:I16)</f>
        <v>1582.6666666666667</v>
      </c>
      <c r="J17" s="16"/>
      <c r="K17" s="16"/>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80</v>
      </c>
      <c r="I21" s="13">
        <f>(3788)/3</f>
        <v>1262.6666666666667</v>
      </c>
      <c r="J21" s="13"/>
      <c r="K21" s="13"/>
    </row>
    <row r="22" spans="1:11" x14ac:dyDescent="0.25">
      <c r="A22" s="12" t="s">
        <v>81</v>
      </c>
      <c r="B22" s="13"/>
      <c r="C22" s="13"/>
      <c r="D22" s="13"/>
      <c r="E22" s="13"/>
      <c r="G22" s="12" t="s">
        <v>81</v>
      </c>
      <c r="H22" s="13"/>
      <c r="I22" s="13">
        <f>(4240)/3</f>
        <v>1413.3333333333333</v>
      </c>
      <c r="J22" s="13"/>
      <c r="K22" s="13"/>
    </row>
    <row r="23" spans="1:11" x14ac:dyDescent="0.25">
      <c r="A23" s="12" t="s">
        <v>82</v>
      </c>
      <c r="B23" s="13"/>
      <c r="C23" s="13"/>
      <c r="D23" s="13"/>
      <c r="E23" s="13"/>
      <c r="G23" s="12" t="s">
        <v>82</v>
      </c>
      <c r="H23" s="13">
        <f>(4960)/3</f>
        <v>1653.3333333333333</v>
      </c>
      <c r="I23" s="13"/>
      <c r="J23" s="13"/>
      <c r="K23" s="13"/>
    </row>
    <row r="24" spans="1:11" x14ac:dyDescent="0.25">
      <c r="A24" s="12" t="s">
        <v>83</v>
      </c>
      <c r="B24" s="13"/>
      <c r="C24" s="13"/>
      <c r="D24" s="13"/>
      <c r="E24" s="13"/>
      <c r="G24" s="12" t="s">
        <v>83</v>
      </c>
      <c r="H24" s="13"/>
      <c r="J24" s="13"/>
      <c r="K24" s="13"/>
    </row>
    <row r="25" spans="1:11" x14ac:dyDescent="0.25">
      <c r="A25" s="12" t="s">
        <v>84</v>
      </c>
      <c r="B25" s="13"/>
      <c r="C25" s="13"/>
      <c r="D25" s="13"/>
      <c r="E25" s="13"/>
      <c r="G25" s="12" t="s">
        <v>84</v>
      </c>
      <c r="I25" s="13"/>
      <c r="J25" s="13"/>
      <c r="K25" s="13"/>
    </row>
    <row r="26" spans="1:11" x14ac:dyDescent="0.25">
      <c r="A26" s="12" t="s">
        <v>85</v>
      </c>
      <c r="B26" s="13"/>
      <c r="C26" s="13"/>
      <c r="D26" s="13"/>
      <c r="E26" s="13"/>
      <c r="G26" s="12" t="s">
        <v>85</v>
      </c>
      <c r="H26" s="13"/>
      <c r="I26" s="13"/>
      <c r="J26" s="13"/>
      <c r="K26" s="13"/>
    </row>
    <row r="27" spans="1:11" x14ac:dyDescent="0.25">
      <c r="A27" s="12" t="s">
        <v>86</v>
      </c>
      <c r="B27" s="13"/>
      <c r="C27" s="13"/>
      <c r="D27" s="13"/>
      <c r="E27" s="13"/>
      <c r="G27" s="12" t="s">
        <v>86</v>
      </c>
      <c r="H27" s="13"/>
      <c r="I27" s="13"/>
      <c r="J27" s="13"/>
      <c r="K27" s="13"/>
    </row>
    <row r="28" spans="1:11" x14ac:dyDescent="0.25">
      <c r="A28" s="12" t="s">
        <v>87</v>
      </c>
      <c r="B28" s="13"/>
      <c r="C28" s="13"/>
      <c r="D28" s="13"/>
      <c r="E28" s="13"/>
      <c r="G28" s="12" t="s">
        <v>87</v>
      </c>
      <c r="H28" s="13"/>
      <c r="I28" s="13"/>
      <c r="J28" s="13"/>
      <c r="K28" s="13"/>
    </row>
    <row r="29" spans="1:11" x14ac:dyDescent="0.25">
      <c r="A29" s="12" t="s">
        <v>88</v>
      </c>
      <c r="B29" s="13"/>
      <c r="C29" s="13"/>
      <c r="D29" s="13"/>
      <c r="E29" s="13"/>
      <c r="G29" s="12" t="s">
        <v>88</v>
      </c>
      <c r="H29" s="13"/>
      <c r="I29" s="13"/>
      <c r="J29" s="13"/>
      <c r="K29" s="13"/>
    </row>
    <row r="30" spans="1:11" x14ac:dyDescent="0.25">
      <c r="A30" s="12" t="s">
        <v>89</v>
      </c>
      <c r="B30" s="13"/>
      <c r="C30" s="13"/>
      <c r="D30" s="13"/>
      <c r="E30" s="13"/>
      <c r="G30" s="12" t="s">
        <v>89</v>
      </c>
      <c r="H30" s="13"/>
      <c r="I30" s="13"/>
      <c r="J30" s="13"/>
      <c r="K30" s="13"/>
    </row>
    <row r="31" spans="1:11" x14ac:dyDescent="0.25">
      <c r="A31" s="12" t="s">
        <v>90</v>
      </c>
      <c r="B31" s="13"/>
      <c r="C31" s="13"/>
      <c r="D31" s="13"/>
      <c r="E31" s="13"/>
      <c r="G31" s="12" t="s">
        <v>90</v>
      </c>
      <c r="H31" s="13"/>
      <c r="I31" s="13"/>
      <c r="J31" s="13"/>
      <c r="K31" s="13"/>
    </row>
    <row r="32" spans="1:11"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f>AVERAGE(H21:H34)</f>
        <v>1653.3333333333333</v>
      </c>
      <c r="I35" s="16">
        <f>AVERAGE((I21:I34))</f>
        <v>1338</v>
      </c>
      <c r="J35" s="16"/>
      <c r="K35" s="16"/>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t="s">
        <v>190</v>
      </c>
      <c r="C40" s="13" t="s">
        <v>141</v>
      </c>
      <c r="D40" s="13" t="s">
        <v>240</v>
      </c>
      <c r="E40" s="13">
        <f>(1223*2)/3</f>
        <v>815.33333333333337</v>
      </c>
    </row>
    <row r="41" spans="1:11" x14ac:dyDescent="0.25">
      <c r="A41" s="12" t="s">
        <v>103</v>
      </c>
      <c r="B41" s="13" t="s">
        <v>190</v>
      </c>
      <c r="C41" s="13" t="s">
        <v>141</v>
      </c>
      <c r="D41" s="13" t="s">
        <v>241</v>
      </c>
      <c r="E41" s="13">
        <f>(1762*2)/3</f>
        <v>1174.6666666666667</v>
      </c>
    </row>
    <row r="42" spans="1:11" x14ac:dyDescent="0.25">
      <c r="A42" s="12" t="s">
        <v>104</v>
      </c>
      <c r="B42" s="13" t="s">
        <v>190</v>
      </c>
      <c r="C42" s="13" t="s">
        <v>141</v>
      </c>
      <c r="D42" s="13" t="s">
        <v>242</v>
      </c>
      <c r="E42" s="13">
        <f>(1471*2)/3</f>
        <v>980.66666666666663</v>
      </c>
    </row>
    <row r="43" spans="1:11" x14ac:dyDescent="0.25">
      <c r="A43" s="12" t="s">
        <v>105</v>
      </c>
      <c r="B43" s="13" t="s">
        <v>190</v>
      </c>
      <c r="C43" s="13" t="s">
        <v>141</v>
      </c>
      <c r="D43" s="13" t="s">
        <v>243</v>
      </c>
      <c r="E43" s="13">
        <f>(1609*2)/3</f>
        <v>1072.6666666666667</v>
      </c>
    </row>
    <row r="44" spans="1:11" x14ac:dyDescent="0.25">
      <c r="A44" s="24" t="s">
        <v>106</v>
      </c>
      <c r="B44" s="25" t="s">
        <v>190</v>
      </c>
      <c r="C44" s="25" t="s">
        <v>141</v>
      </c>
      <c r="D44" s="25" t="s">
        <v>244</v>
      </c>
      <c r="E44" s="25">
        <f>(165*2)/3</f>
        <v>110</v>
      </c>
    </row>
    <row r="45" spans="1:11" x14ac:dyDescent="0.25">
      <c r="A45" s="12" t="s">
        <v>107</v>
      </c>
      <c r="B45" s="13" t="s">
        <v>190</v>
      </c>
      <c r="C45" s="13" t="s">
        <v>141</v>
      </c>
      <c r="D45" s="13" t="s">
        <v>245</v>
      </c>
      <c r="E45" s="13">
        <f>(326*2)/3</f>
        <v>217.33333333333334</v>
      </c>
    </row>
    <row r="46" spans="1:11" x14ac:dyDescent="0.25">
      <c r="A46" s="12" t="s">
        <v>108</v>
      </c>
      <c r="B46" s="13" t="s">
        <v>190</v>
      </c>
      <c r="C46" s="13" t="s">
        <v>141</v>
      </c>
      <c r="D46" s="13" t="s">
        <v>246</v>
      </c>
      <c r="E46" s="13">
        <f>(371*2)/3</f>
        <v>247.33333333333334</v>
      </c>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AVERAGE(E40:E43)</f>
        <v>1010.8333333333333</v>
      </c>
    </row>
  </sheetData>
  <mergeCells count="5">
    <mergeCell ref="A1:E1"/>
    <mergeCell ref="G1:K1"/>
    <mergeCell ref="A19:E19"/>
    <mergeCell ref="G19:K19"/>
    <mergeCell ref="A38:E38"/>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opLeftCell="A22" workbookViewId="0">
      <selection activeCell="J47" sqref="J47"/>
    </sheetView>
  </sheetViews>
  <sheetFormatPr defaultRowHeight="15" x14ac:dyDescent="0.25"/>
  <cols>
    <col min="1" max="1" width="9.140625" style="9"/>
    <col min="2" max="3" width="10.5703125" style="9" bestFit="1" customWidth="1"/>
    <col min="4" max="4" width="14" style="9" bestFit="1" customWidth="1"/>
    <col min="5" max="5" width="10.5703125" style="9" bestFit="1" customWidth="1"/>
    <col min="6" max="7" width="9.140625" style="9"/>
    <col min="8" max="10" width="10.5703125" style="9" bestFit="1" customWidth="1"/>
    <col min="11" max="16384" width="9.140625" style="9"/>
  </cols>
  <sheetData>
    <row r="1" spans="1:11" ht="15.75" x14ac:dyDescent="0.25">
      <c r="A1" s="72" t="s">
        <v>74</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f>8500/3</f>
        <v>2833.3333333333335</v>
      </c>
      <c r="C3" s="13">
        <f>7750/3</f>
        <v>2583.3333333333335</v>
      </c>
      <c r="D3" s="13">
        <f>7750/3</f>
        <v>2583.3333333333335</v>
      </c>
      <c r="E3" s="13"/>
      <c r="G3" s="12" t="s">
        <v>80</v>
      </c>
      <c r="H3" s="13">
        <f>10500/3</f>
        <v>3500</v>
      </c>
      <c r="I3" s="13"/>
      <c r="J3" s="13"/>
      <c r="K3" s="13"/>
    </row>
    <row r="4" spans="1:11" x14ac:dyDescent="0.25">
      <c r="A4" s="12" t="s">
        <v>81</v>
      </c>
      <c r="B4" s="13"/>
      <c r="C4" s="13"/>
      <c r="D4" s="13"/>
      <c r="E4" s="13"/>
      <c r="G4" s="12" t="s">
        <v>81</v>
      </c>
      <c r="H4" s="13">
        <f>8500/3</f>
        <v>2833.3333333333335</v>
      </c>
      <c r="I4" s="13">
        <f>7750/3</f>
        <v>2583.3333333333335</v>
      </c>
      <c r="J4" s="13">
        <f>6700/3</f>
        <v>2233.3333333333335</v>
      </c>
      <c r="K4" s="13"/>
    </row>
    <row r="5" spans="1:11" x14ac:dyDescent="0.25">
      <c r="A5" s="12" t="s">
        <v>82</v>
      </c>
      <c r="B5" s="13"/>
      <c r="C5" s="13"/>
      <c r="D5" s="13"/>
      <c r="E5" s="13"/>
      <c r="G5" s="12" t="s">
        <v>82</v>
      </c>
      <c r="H5" s="13">
        <f>8500/3</f>
        <v>2833.3333333333335</v>
      </c>
      <c r="I5" s="13">
        <f>7750/3</f>
        <v>2583.3333333333335</v>
      </c>
      <c r="J5" s="13">
        <f>6700/3</f>
        <v>2233.3333333333335</v>
      </c>
      <c r="K5" s="13"/>
    </row>
    <row r="6" spans="1:11" x14ac:dyDescent="0.25">
      <c r="A6" s="12" t="s">
        <v>83</v>
      </c>
      <c r="B6" s="13"/>
      <c r="C6" s="13"/>
      <c r="D6" s="13"/>
      <c r="E6" s="13"/>
      <c r="G6" s="12" t="s">
        <v>83</v>
      </c>
      <c r="H6" s="13">
        <f>11000/3</f>
        <v>3666.6666666666665</v>
      </c>
      <c r="I6" s="13"/>
      <c r="J6" s="13"/>
      <c r="K6" s="13"/>
    </row>
    <row r="7" spans="1:11" x14ac:dyDescent="0.25">
      <c r="A7" s="12" t="s">
        <v>84</v>
      </c>
      <c r="B7" s="13"/>
      <c r="C7" s="13"/>
      <c r="D7" s="13"/>
      <c r="E7" s="13"/>
      <c r="G7" s="12" t="s">
        <v>84</v>
      </c>
      <c r="H7" s="13">
        <f>8900/3</f>
        <v>2966.6666666666665</v>
      </c>
      <c r="I7" s="13">
        <f>8000/3</f>
        <v>2666.6666666666665</v>
      </c>
      <c r="J7" s="13"/>
      <c r="K7" s="13"/>
    </row>
    <row r="8" spans="1:11" x14ac:dyDescent="0.25">
      <c r="A8" s="12" t="s">
        <v>85</v>
      </c>
      <c r="B8" s="13"/>
      <c r="C8" s="13"/>
      <c r="D8" s="13"/>
      <c r="E8" s="13"/>
      <c r="G8" s="12" t="s">
        <v>85</v>
      </c>
      <c r="H8" s="13">
        <f>8500/3</f>
        <v>2833.3333333333335</v>
      </c>
      <c r="I8" s="13">
        <f>7750/3</f>
        <v>2583.3333333333335</v>
      </c>
      <c r="J8" s="13"/>
      <c r="K8" s="13"/>
    </row>
    <row r="9" spans="1:11" x14ac:dyDescent="0.25">
      <c r="A9" s="12" t="s">
        <v>86</v>
      </c>
      <c r="B9" s="13"/>
      <c r="C9" s="13"/>
      <c r="D9" s="13"/>
      <c r="E9" s="13"/>
      <c r="G9" s="12" t="s">
        <v>86</v>
      </c>
      <c r="H9" s="13">
        <f>8900/3</f>
        <v>2966.6666666666665</v>
      </c>
      <c r="I9" s="13"/>
      <c r="J9" s="13"/>
      <c r="K9" s="13"/>
    </row>
    <row r="10" spans="1:11" x14ac:dyDescent="0.25">
      <c r="A10" s="12" t="s">
        <v>87</v>
      </c>
      <c r="B10" s="13"/>
      <c r="C10" s="13"/>
      <c r="D10" s="13"/>
      <c r="E10" s="13"/>
      <c r="G10" s="12" t="s">
        <v>87</v>
      </c>
      <c r="H10" s="13"/>
      <c r="I10" s="13"/>
      <c r="J10" s="13"/>
      <c r="K10" s="13"/>
    </row>
    <row r="11" spans="1:11" x14ac:dyDescent="0.25">
      <c r="A11" s="12" t="s">
        <v>88</v>
      </c>
      <c r="B11" s="13"/>
      <c r="C11" s="13"/>
      <c r="D11" s="13"/>
      <c r="E11" s="13"/>
      <c r="G11" s="12" t="s">
        <v>88</v>
      </c>
      <c r="H11" s="13"/>
      <c r="I11" s="13"/>
      <c r="J11" s="13"/>
      <c r="K11" s="13"/>
    </row>
    <row r="12" spans="1:11" x14ac:dyDescent="0.25">
      <c r="A12" s="12" t="s">
        <v>89</v>
      </c>
      <c r="B12" s="13"/>
      <c r="C12" s="13"/>
      <c r="D12" s="13"/>
      <c r="E12" s="13"/>
      <c r="G12" s="12" t="s">
        <v>89</v>
      </c>
      <c r="H12" s="13"/>
      <c r="I12" s="13"/>
      <c r="J12" s="13"/>
      <c r="K12" s="13"/>
    </row>
    <row r="13" spans="1:11" x14ac:dyDescent="0.25">
      <c r="A13" s="12" t="s">
        <v>90</v>
      </c>
      <c r="B13" s="13"/>
      <c r="C13" s="13"/>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1" ht="15.75" thickBot="1" x14ac:dyDescent="0.3">
      <c r="A17" s="11" t="s">
        <v>94</v>
      </c>
      <c r="B17" s="16">
        <f>AVERAGE(B3:B16)</f>
        <v>2833.3333333333335</v>
      </c>
      <c r="C17" s="16">
        <f t="shared" ref="C17" si="0">AVERAGE(C3:C16)</f>
        <v>2583.3333333333335</v>
      </c>
      <c r="D17" s="16">
        <f>AVERAGE(D3:D16)</f>
        <v>2583.3333333333335</v>
      </c>
      <c r="E17" s="16"/>
      <c r="G17" s="11" t="s">
        <v>94</v>
      </c>
      <c r="H17" s="16">
        <f>AVERAGE(H3:H16)</f>
        <v>3085.7142857142858</v>
      </c>
      <c r="I17" s="16">
        <f t="shared" ref="I17:J17" si="1">AVERAGE(I3:I16)</f>
        <v>2604.166666666667</v>
      </c>
      <c r="J17" s="16">
        <f t="shared" si="1"/>
        <v>2233.3333333333335</v>
      </c>
      <c r="K17" s="16"/>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80</v>
      </c>
      <c r="H21" s="13">
        <f>8500/3</f>
        <v>2833.3333333333335</v>
      </c>
      <c r="I21" s="13"/>
      <c r="J21" s="13"/>
      <c r="K21" s="13"/>
    </row>
    <row r="22" spans="1:11" x14ac:dyDescent="0.25">
      <c r="A22" s="12" t="s">
        <v>81</v>
      </c>
      <c r="B22" s="13"/>
      <c r="C22" s="13"/>
      <c r="D22" s="13"/>
      <c r="E22" s="13"/>
      <c r="G22" s="12" t="s">
        <v>81</v>
      </c>
      <c r="H22" s="13">
        <f>9500/3</f>
        <v>3166.6666666666665</v>
      </c>
      <c r="I22" s="13"/>
      <c r="J22" s="13"/>
      <c r="K22" s="13"/>
    </row>
    <row r="23" spans="1:11" x14ac:dyDescent="0.25">
      <c r="A23" s="12" t="s">
        <v>82</v>
      </c>
      <c r="B23" s="13"/>
      <c r="C23" s="13"/>
      <c r="D23" s="13"/>
      <c r="E23" s="13"/>
      <c r="G23" s="12" t="s">
        <v>82</v>
      </c>
      <c r="H23" s="13">
        <f>8500/3</f>
        <v>2833.3333333333335</v>
      </c>
      <c r="I23" s="13">
        <f>7750/3</f>
        <v>2583.3333333333335</v>
      </c>
      <c r="J23" s="13">
        <f>7750/3</f>
        <v>2583.3333333333335</v>
      </c>
      <c r="K23" s="13"/>
    </row>
    <row r="24" spans="1:11" x14ac:dyDescent="0.25">
      <c r="A24" s="12" t="s">
        <v>83</v>
      </c>
      <c r="B24" s="13"/>
      <c r="C24" s="13"/>
      <c r="D24" s="13"/>
      <c r="E24" s="13"/>
      <c r="G24" s="12" t="s">
        <v>83</v>
      </c>
      <c r="H24" s="13">
        <f>11000/3</f>
        <v>3666.6666666666665</v>
      </c>
      <c r="I24" s="13"/>
      <c r="J24" s="13"/>
      <c r="K24" s="13"/>
    </row>
    <row r="25" spans="1:11" x14ac:dyDescent="0.25">
      <c r="A25" s="12" t="s">
        <v>84</v>
      </c>
      <c r="B25" s="13"/>
      <c r="C25" s="13"/>
      <c r="D25" s="13"/>
      <c r="E25" s="13"/>
      <c r="G25" s="12" t="s">
        <v>84</v>
      </c>
      <c r="H25" s="13">
        <f>10300/3</f>
        <v>3433.3333333333335</v>
      </c>
      <c r="I25" s="13"/>
      <c r="J25" s="13"/>
      <c r="K25" s="13"/>
    </row>
    <row r="26" spans="1:11" x14ac:dyDescent="0.25">
      <c r="A26" s="12" t="s">
        <v>85</v>
      </c>
      <c r="B26" s="13"/>
      <c r="C26" s="13"/>
      <c r="D26" s="13"/>
      <c r="E26" s="13"/>
      <c r="G26" s="12" t="s">
        <v>85</v>
      </c>
      <c r="H26" s="13">
        <f>10000/3</f>
        <v>3333.3333333333335</v>
      </c>
      <c r="I26" s="13"/>
      <c r="J26" s="13"/>
      <c r="K26" s="13"/>
    </row>
    <row r="27" spans="1:11" x14ac:dyDescent="0.25">
      <c r="A27" s="12" t="s">
        <v>86</v>
      </c>
      <c r="B27" s="13"/>
      <c r="C27" s="13"/>
      <c r="D27" s="13"/>
      <c r="E27" s="13"/>
      <c r="G27" s="12" t="s">
        <v>86</v>
      </c>
      <c r="H27" s="13"/>
      <c r="I27" s="13"/>
      <c r="J27" s="13"/>
      <c r="K27" s="13"/>
    </row>
    <row r="28" spans="1:11" x14ac:dyDescent="0.25">
      <c r="A28" s="12" t="s">
        <v>87</v>
      </c>
      <c r="B28" s="13"/>
      <c r="C28" s="13"/>
      <c r="D28" s="13"/>
      <c r="E28" s="13"/>
      <c r="G28" s="12" t="s">
        <v>87</v>
      </c>
      <c r="H28" s="13"/>
      <c r="I28" s="13"/>
      <c r="J28" s="13"/>
      <c r="K28" s="13"/>
    </row>
    <row r="29" spans="1:11" x14ac:dyDescent="0.25">
      <c r="A29" s="12" t="s">
        <v>88</v>
      </c>
      <c r="B29" s="13"/>
      <c r="C29" s="13"/>
      <c r="D29" s="13"/>
      <c r="E29" s="13"/>
      <c r="G29" s="12" t="s">
        <v>88</v>
      </c>
      <c r="H29" s="13"/>
      <c r="I29" s="13"/>
      <c r="J29" s="13"/>
      <c r="K29" s="13"/>
    </row>
    <row r="30" spans="1:11" x14ac:dyDescent="0.25">
      <c r="A30" s="12" t="s">
        <v>89</v>
      </c>
      <c r="B30" s="13"/>
      <c r="C30" s="13"/>
      <c r="D30" s="13"/>
      <c r="E30" s="13"/>
      <c r="G30" s="12" t="s">
        <v>89</v>
      </c>
      <c r="H30" s="13"/>
      <c r="I30" s="13"/>
      <c r="J30" s="13"/>
      <c r="K30" s="13"/>
    </row>
    <row r="31" spans="1:11" x14ac:dyDescent="0.25">
      <c r="A31" s="12" t="s">
        <v>90</v>
      </c>
      <c r="B31" s="13"/>
      <c r="C31" s="13"/>
      <c r="D31" s="13"/>
      <c r="E31" s="13"/>
      <c r="G31" s="12" t="s">
        <v>90</v>
      </c>
      <c r="H31" s="13"/>
      <c r="I31" s="13"/>
      <c r="J31" s="13"/>
      <c r="K31" s="13"/>
    </row>
    <row r="32" spans="1:11"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f>AVERAGE(H21:H34)</f>
        <v>3211.1111111111113</v>
      </c>
      <c r="I35" s="16">
        <f t="shared" ref="I35:J35" si="2">AVERAGE(I21:I34)</f>
        <v>2583.3333333333335</v>
      </c>
      <c r="J35" s="16">
        <f t="shared" si="2"/>
        <v>2583.3333333333335</v>
      </c>
      <c r="K35" s="16"/>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t="s">
        <v>128</v>
      </c>
      <c r="C40" s="13" t="s">
        <v>141</v>
      </c>
      <c r="D40" s="13" t="s">
        <v>247</v>
      </c>
      <c r="E40" s="13">
        <f>(6106*2)/3</f>
        <v>4070.6666666666665</v>
      </c>
    </row>
    <row r="41" spans="1:11" x14ac:dyDescent="0.25">
      <c r="A41" s="12" t="s">
        <v>103</v>
      </c>
      <c r="B41" s="13" t="s">
        <v>128</v>
      </c>
      <c r="C41" s="13" t="s">
        <v>141</v>
      </c>
      <c r="D41" s="13" t="s">
        <v>248</v>
      </c>
      <c r="E41" s="13">
        <f>(6032*2)/3</f>
        <v>4021.3333333333335</v>
      </c>
    </row>
    <row r="42" spans="1:11" x14ac:dyDescent="0.25">
      <c r="A42" s="12" t="s">
        <v>104</v>
      </c>
      <c r="B42" s="13" t="s">
        <v>128</v>
      </c>
      <c r="C42" s="13" t="s">
        <v>141</v>
      </c>
      <c r="D42" s="13" t="s">
        <v>249</v>
      </c>
      <c r="E42" s="13">
        <f>(5956*2)/3</f>
        <v>3970.6666666666665</v>
      </c>
    </row>
    <row r="43" spans="1:11" x14ac:dyDescent="0.25">
      <c r="A43" s="12" t="s">
        <v>105</v>
      </c>
      <c r="B43" s="13" t="s">
        <v>128</v>
      </c>
      <c r="C43" s="13" t="s">
        <v>141</v>
      </c>
      <c r="D43" s="13" t="s">
        <v>250</v>
      </c>
      <c r="E43" s="13">
        <f>(5500*2)/3</f>
        <v>3666.6666666666665</v>
      </c>
    </row>
    <row r="44" spans="1:11" x14ac:dyDescent="0.25">
      <c r="A44" s="12" t="s">
        <v>106</v>
      </c>
      <c r="B44" s="13" t="s">
        <v>200</v>
      </c>
      <c r="C44" s="13" t="s">
        <v>141</v>
      </c>
      <c r="D44" s="13" t="s">
        <v>251</v>
      </c>
      <c r="E44" s="13">
        <f>(4200*2)/3</f>
        <v>2800</v>
      </c>
    </row>
    <row r="45" spans="1:11" x14ac:dyDescent="0.25">
      <c r="A45" s="12" t="s">
        <v>107</v>
      </c>
      <c r="B45" s="13" t="s">
        <v>200</v>
      </c>
      <c r="C45" s="13" t="s">
        <v>141</v>
      </c>
      <c r="D45" s="13" t="s">
        <v>252</v>
      </c>
      <c r="E45" s="13">
        <f>(3750*2)/3</f>
        <v>2500</v>
      </c>
    </row>
    <row r="46" spans="1:11" x14ac:dyDescent="0.25">
      <c r="A46" s="12" t="s">
        <v>108</v>
      </c>
      <c r="B46" s="13" t="s">
        <v>200</v>
      </c>
      <c r="C46" s="13" t="s">
        <v>141</v>
      </c>
      <c r="D46" s="13" t="s">
        <v>253</v>
      </c>
      <c r="E46" s="13">
        <f>(1776*2)/3</f>
        <v>1184</v>
      </c>
    </row>
    <row r="47" spans="1:11" x14ac:dyDescent="0.25">
      <c r="A47" s="12" t="s">
        <v>109</v>
      </c>
      <c r="B47" s="13" t="s">
        <v>200</v>
      </c>
      <c r="C47" s="13" t="s">
        <v>141</v>
      </c>
      <c r="D47" s="13" t="s">
        <v>202</v>
      </c>
      <c r="E47" s="13">
        <f>(1198*2)/3</f>
        <v>798.66666666666663</v>
      </c>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AVERAGE(E40:E53)</f>
        <v>2876.5</v>
      </c>
    </row>
  </sheetData>
  <mergeCells count="5">
    <mergeCell ref="A1:E1"/>
    <mergeCell ref="G1:K1"/>
    <mergeCell ref="A19:E19"/>
    <mergeCell ref="G19:K19"/>
    <mergeCell ref="A38:E3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E55" sqref="E55"/>
    </sheetView>
  </sheetViews>
  <sheetFormatPr defaultRowHeight="15" x14ac:dyDescent="0.25"/>
  <cols>
    <col min="2" max="3" width="10.5703125" bestFit="1" customWidth="1"/>
    <col min="5" max="5" width="10.5703125" bestFit="1" customWidth="1"/>
    <col min="8" max="10" width="10.5703125" bestFit="1" customWidth="1"/>
  </cols>
  <sheetData>
    <row r="1" spans="1:11" ht="15.75" x14ac:dyDescent="0.25">
      <c r="A1" s="72" t="s">
        <v>74</v>
      </c>
      <c r="B1" s="72"/>
      <c r="C1" s="72"/>
      <c r="D1" s="72"/>
      <c r="E1" s="72"/>
      <c r="F1" s="9"/>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c r="C3" s="13">
        <f>4810/3</f>
        <v>1603.3333333333333</v>
      </c>
      <c r="D3" s="13"/>
      <c r="E3" s="13"/>
      <c r="F3" s="9"/>
      <c r="G3" s="12" t="s">
        <v>80</v>
      </c>
      <c r="H3" s="13"/>
      <c r="I3" s="13"/>
      <c r="J3" s="13">
        <f>5255/3</f>
        <v>1751.6666666666667</v>
      </c>
      <c r="K3" s="13"/>
    </row>
    <row r="4" spans="1:11" x14ac:dyDescent="0.25">
      <c r="A4" s="12" t="s">
        <v>81</v>
      </c>
      <c r="B4" s="13">
        <f>5864/3</f>
        <v>1954.6666666666667</v>
      </c>
      <c r="C4" s="13"/>
      <c r="D4" s="13"/>
      <c r="E4" s="13"/>
      <c r="F4" s="9"/>
      <c r="G4" s="12" t="s">
        <v>81</v>
      </c>
      <c r="H4" s="13"/>
      <c r="I4" s="13"/>
      <c r="J4" s="13">
        <f>5756/3</f>
        <v>1918.6666666666667</v>
      </c>
      <c r="K4" s="13"/>
    </row>
    <row r="5" spans="1:11" x14ac:dyDescent="0.25">
      <c r="A5" s="12" t="s">
        <v>82</v>
      </c>
      <c r="B5" s="13">
        <f>6258/3</f>
        <v>2086</v>
      </c>
      <c r="C5" s="13"/>
      <c r="D5" s="13"/>
      <c r="E5" s="13"/>
      <c r="F5" s="9"/>
      <c r="G5" s="12" t="s">
        <v>82</v>
      </c>
      <c r="H5" s="13"/>
      <c r="I5" s="13">
        <f>6386/3</f>
        <v>2128.6666666666665</v>
      </c>
      <c r="J5" s="13"/>
      <c r="K5" s="13"/>
    </row>
    <row r="6" spans="1:11" x14ac:dyDescent="0.25">
      <c r="A6" s="12" t="s">
        <v>83</v>
      </c>
      <c r="B6" s="13"/>
      <c r="C6" s="13">
        <f>5290/3</f>
        <v>1763.3333333333333</v>
      </c>
      <c r="D6" s="13"/>
      <c r="E6" s="13"/>
      <c r="F6" s="9"/>
      <c r="G6" s="12" t="s">
        <v>83</v>
      </c>
      <c r="H6" s="13"/>
      <c r="I6" s="13">
        <f>6949/3</f>
        <v>2316.3333333333335</v>
      </c>
      <c r="J6" s="13"/>
      <c r="K6" s="13"/>
    </row>
    <row r="7" spans="1:11" x14ac:dyDescent="0.25">
      <c r="A7" s="12" t="s">
        <v>84</v>
      </c>
      <c r="B7" s="13">
        <f>6377/3</f>
        <v>2125.6666666666665</v>
      </c>
      <c r="C7" s="13"/>
      <c r="D7" s="13"/>
      <c r="E7" s="13"/>
      <c r="F7" s="9"/>
      <c r="G7" s="12" t="s">
        <v>84</v>
      </c>
      <c r="H7" s="13">
        <f>7427/3</f>
        <v>2475.6666666666665</v>
      </c>
      <c r="I7" s="13"/>
      <c r="J7" s="13"/>
      <c r="K7" s="13"/>
    </row>
    <row r="8" spans="1:11" x14ac:dyDescent="0.25">
      <c r="A8" s="12" t="s">
        <v>85</v>
      </c>
      <c r="B8" s="13">
        <f>6806/3</f>
        <v>2268.6666666666665</v>
      </c>
      <c r="C8" s="13"/>
      <c r="D8" s="13"/>
      <c r="E8" s="13"/>
      <c r="F8" s="9"/>
      <c r="G8" s="12" t="s">
        <v>85</v>
      </c>
      <c r="H8" s="13"/>
      <c r="I8" s="13"/>
      <c r="J8" s="13"/>
      <c r="K8" s="13"/>
    </row>
    <row r="9" spans="1:11" x14ac:dyDescent="0.25">
      <c r="A9" s="12" t="s">
        <v>86</v>
      </c>
      <c r="B9" s="13"/>
      <c r="C9" s="13">
        <f>5770/3</f>
        <v>1923.3333333333333</v>
      </c>
      <c r="D9" s="13"/>
      <c r="E9" s="13"/>
      <c r="F9" s="9" t="s">
        <v>127</v>
      </c>
      <c r="G9" s="12" t="s">
        <v>86</v>
      </c>
      <c r="H9" s="13"/>
      <c r="I9" s="13"/>
      <c r="J9" s="13"/>
      <c r="K9" s="13"/>
    </row>
    <row r="10" spans="1:11" x14ac:dyDescent="0.25">
      <c r="A10" s="12" t="s">
        <v>87</v>
      </c>
      <c r="B10" s="13"/>
      <c r="C10" s="13"/>
      <c r="D10" s="13"/>
      <c r="E10" s="13"/>
      <c r="F10" s="9"/>
      <c r="G10" s="12" t="s">
        <v>87</v>
      </c>
      <c r="H10" s="13"/>
      <c r="I10" s="13"/>
      <c r="J10" s="13"/>
      <c r="K10" s="13"/>
    </row>
    <row r="11" spans="1:11" x14ac:dyDescent="0.25">
      <c r="A11" s="12" t="s">
        <v>88</v>
      </c>
      <c r="B11" s="13"/>
      <c r="C11" s="13"/>
      <c r="D11" s="13"/>
      <c r="E11" s="13"/>
      <c r="F11" s="9"/>
      <c r="G11" s="12" t="s">
        <v>88</v>
      </c>
      <c r="H11" s="13"/>
      <c r="I11" s="13"/>
      <c r="J11" s="13"/>
      <c r="K11" s="13"/>
    </row>
    <row r="12" spans="1:11" x14ac:dyDescent="0.25">
      <c r="A12" s="12" t="s">
        <v>89</v>
      </c>
      <c r="B12" s="13"/>
      <c r="C12" s="13"/>
      <c r="D12" s="13"/>
      <c r="E12" s="13"/>
      <c r="F12" s="9"/>
      <c r="G12" s="12" t="s">
        <v>89</v>
      </c>
      <c r="H12" s="13"/>
      <c r="I12" s="13"/>
      <c r="J12" s="13"/>
      <c r="K12" s="13"/>
    </row>
    <row r="13" spans="1:11" x14ac:dyDescent="0.25">
      <c r="A13" s="12" t="s">
        <v>90</v>
      </c>
      <c r="B13" s="13"/>
      <c r="C13" s="13"/>
      <c r="D13" s="13"/>
      <c r="E13" s="13"/>
      <c r="F13" s="9"/>
      <c r="G13" s="12" t="s">
        <v>90</v>
      </c>
      <c r="H13" s="13"/>
      <c r="I13" s="13"/>
      <c r="J13" s="13"/>
      <c r="K13" s="13"/>
    </row>
    <row r="14" spans="1:11" x14ac:dyDescent="0.25">
      <c r="A14" s="12" t="s">
        <v>91</v>
      </c>
      <c r="B14" s="13"/>
      <c r="C14" s="13"/>
      <c r="D14" s="13"/>
      <c r="E14" s="13"/>
      <c r="F14" s="9"/>
      <c r="G14" s="12" t="s">
        <v>91</v>
      </c>
      <c r="H14" s="13"/>
      <c r="I14" s="13"/>
      <c r="J14" s="13"/>
      <c r="K14" s="13"/>
    </row>
    <row r="15" spans="1:11" x14ac:dyDescent="0.25">
      <c r="A15" s="12" t="s">
        <v>92</v>
      </c>
      <c r="B15" s="13"/>
      <c r="C15" s="13"/>
      <c r="D15" s="13"/>
      <c r="E15" s="13"/>
      <c r="F15" s="9"/>
      <c r="G15" s="12" t="s">
        <v>92</v>
      </c>
      <c r="H15" s="13"/>
      <c r="I15" s="13"/>
      <c r="J15" s="13"/>
      <c r="K15" s="13"/>
    </row>
    <row r="16" spans="1:11" ht="15.75" thickBot="1" x14ac:dyDescent="0.3">
      <c r="A16" s="14" t="s">
        <v>93</v>
      </c>
      <c r="B16" s="15"/>
      <c r="C16" s="15"/>
      <c r="D16" s="15"/>
      <c r="E16" s="15"/>
      <c r="F16" s="9"/>
      <c r="G16" s="14" t="s">
        <v>93</v>
      </c>
      <c r="H16" s="15"/>
      <c r="I16" s="15"/>
      <c r="J16" s="15"/>
      <c r="K16" s="15"/>
    </row>
    <row r="17" spans="1:11" ht="15.75" thickBot="1" x14ac:dyDescent="0.3">
      <c r="A17" s="11" t="s">
        <v>94</v>
      </c>
      <c r="B17" s="16">
        <f>AVERAGE(B3:B16)</f>
        <v>2108.75</v>
      </c>
      <c r="C17" s="16">
        <f>AVERAGE(C3:C16)</f>
        <v>1763.3333333333333</v>
      </c>
      <c r="D17" s="16"/>
      <c r="E17" s="16"/>
      <c r="F17" s="9"/>
      <c r="G17" s="11" t="s">
        <v>94</v>
      </c>
      <c r="H17" s="16">
        <f>AVERAGE(H3:H16)</f>
        <v>2475.6666666666665</v>
      </c>
      <c r="I17" s="16">
        <f t="shared" ref="I17:J17" si="0">AVERAGE(I3:I16)</f>
        <v>2222.5</v>
      </c>
      <c r="J17" s="16">
        <f t="shared" si="0"/>
        <v>1835.1666666666667</v>
      </c>
      <c r="K17" s="16"/>
    </row>
    <row r="18" spans="1:11" ht="15.75" thickTop="1" x14ac:dyDescent="0.25">
      <c r="A18" s="9"/>
      <c r="B18" s="9"/>
      <c r="C18" s="9"/>
      <c r="D18" s="9"/>
      <c r="E18" s="9"/>
      <c r="F18" s="9"/>
      <c r="G18" s="9"/>
      <c r="H18" s="9"/>
      <c r="I18" s="9"/>
      <c r="J18" s="9"/>
      <c r="K18" s="9"/>
    </row>
    <row r="19" spans="1:11" ht="15.75" x14ac:dyDescent="0.25">
      <c r="A19" s="72" t="s">
        <v>95</v>
      </c>
      <c r="B19" s="72"/>
      <c r="C19" s="72"/>
      <c r="D19" s="72"/>
      <c r="E19" s="72"/>
      <c r="F19" s="9"/>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F21" s="9"/>
      <c r="G21" s="12" t="s">
        <v>118</v>
      </c>
      <c r="H21" s="13"/>
      <c r="I21" s="13"/>
      <c r="J21" s="13"/>
      <c r="K21" s="13"/>
    </row>
    <row r="22" spans="1:11" x14ac:dyDescent="0.25">
      <c r="A22" s="12" t="s">
        <v>81</v>
      </c>
      <c r="B22" s="13"/>
      <c r="C22" s="13"/>
      <c r="D22" s="13"/>
      <c r="E22" s="13"/>
      <c r="F22" s="9"/>
      <c r="G22" s="12" t="s">
        <v>118</v>
      </c>
      <c r="H22" s="13"/>
      <c r="I22" s="13"/>
      <c r="J22" s="13"/>
      <c r="K22" s="13"/>
    </row>
    <row r="23" spans="1:11" x14ac:dyDescent="0.25">
      <c r="A23" s="12" t="s">
        <v>82</v>
      </c>
      <c r="B23" s="13"/>
      <c r="C23" s="13"/>
      <c r="D23" s="13"/>
      <c r="E23" s="13"/>
      <c r="F23" s="9"/>
      <c r="G23" s="12" t="s">
        <v>117</v>
      </c>
      <c r="H23" s="13"/>
      <c r="I23" s="13"/>
      <c r="J23" s="13"/>
      <c r="K23" s="13"/>
    </row>
    <row r="24" spans="1:11" x14ac:dyDescent="0.25">
      <c r="A24" s="12" t="s">
        <v>83</v>
      </c>
      <c r="B24" s="13"/>
      <c r="C24" s="13"/>
      <c r="D24" s="13"/>
      <c r="E24" s="13"/>
      <c r="F24" s="9"/>
      <c r="G24" s="12" t="s">
        <v>116</v>
      </c>
      <c r="H24" s="13"/>
      <c r="I24" s="13"/>
      <c r="J24" s="13"/>
      <c r="K24" s="13"/>
    </row>
    <row r="25" spans="1:11" x14ac:dyDescent="0.25">
      <c r="A25" s="12" t="s">
        <v>84</v>
      </c>
      <c r="B25" s="13"/>
      <c r="C25" s="13"/>
      <c r="D25" s="13"/>
      <c r="E25" s="13"/>
      <c r="F25" s="9"/>
      <c r="G25" s="12" t="s">
        <v>119</v>
      </c>
      <c r="H25" s="13"/>
      <c r="I25" s="13"/>
      <c r="J25" s="13"/>
      <c r="K25" s="13"/>
    </row>
    <row r="26" spans="1:11" x14ac:dyDescent="0.25">
      <c r="A26" s="12" t="s">
        <v>85</v>
      </c>
      <c r="B26" s="13"/>
      <c r="C26" s="13"/>
      <c r="D26" s="13"/>
      <c r="E26" s="13"/>
      <c r="F26" s="9"/>
      <c r="G26" s="12" t="s">
        <v>116</v>
      </c>
      <c r="H26" s="13"/>
      <c r="I26" s="13"/>
      <c r="J26" s="13"/>
      <c r="K26" s="13"/>
    </row>
    <row r="27" spans="1:11" x14ac:dyDescent="0.25">
      <c r="A27" s="12" t="s">
        <v>86</v>
      </c>
      <c r="B27" s="13"/>
      <c r="C27" s="13"/>
      <c r="D27" s="13"/>
      <c r="E27" s="13"/>
      <c r="F27" s="9"/>
      <c r="G27" s="12" t="s">
        <v>116</v>
      </c>
      <c r="H27" s="13"/>
      <c r="I27" s="13"/>
      <c r="J27" s="13"/>
      <c r="K27" s="13"/>
    </row>
    <row r="28" spans="1:11" x14ac:dyDescent="0.25">
      <c r="A28" s="12" t="s">
        <v>87</v>
      </c>
      <c r="B28" s="13"/>
      <c r="C28" s="13"/>
      <c r="D28" s="13"/>
      <c r="E28" s="13"/>
      <c r="F28" s="9"/>
      <c r="G28" s="12" t="s">
        <v>117</v>
      </c>
      <c r="H28" s="13"/>
      <c r="I28" s="13"/>
      <c r="J28" s="13"/>
      <c r="K28" s="13"/>
    </row>
    <row r="29" spans="1:11" x14ac:dyDescent="0.25">
      <c r="A29" s="12" t="s">
        <v>88</v>
      </c>
      <c r="B29" s="13"/>
      <c r="C29" s="13"/>
      <c r="D29" s="13"/>
      <c r="E29" s="13"/>
      <c r="F29" s="9"/>
      <c r="G29" s="12" t="s">
        <v>116</v>
      </c>
      <c r="H29" s="13"/>
      <c r="I29" s="13"/>
      <c r="J29" s="13"/>
      <c r="K29" s="13"/>
    </row>
    <row r="30" spans="1:11" x14ac:dyDescent="0.25">
      <c r="A30" s="12" t="s">
        <v>89</v>
      </c>
      <c r="B30" s="13"/>
      <c r="C30" s="13"/>
      <c r="D30" s="13"/>
      <c r="E30" s="13"/>
      <c r="F30" s="9"/>
      <c r="G30" s="12" t="s">
        <v>119</v>
      </c>
      <c r="H30" s="13"/>
      <c r="I30" s="13"/>
      <c r="J30" s="13"/>
      <c r="K30" s="13"/>
    </row>
    <row r="31" spans="1:11" x14ac:dyDescent="0.25">
      <c r="A31" s="12" t="s">
        <v>90</v>
      </c>
      <c r="B31" s="13"/>
      <c r="C31" s="13"/>
      <c r="D31" s="13"/>
      <c r="E31" s="13"/>
      <c r="F31" s="9"/>
      <c r="G31" s="12" t="s">
        <v>90</v>
      </c>
      <c r="H31" s="13"/>
      <c r="I31" s="13"/>
      <c r="J31" s="13"/>
      <c r="K31" s="13"/>
    </row>
    <row r="32" spans="1:11" x14ac:dyDescent="0.25">
      <c r="A32" s="12" t="s">
        <v>91</v>
      </c>
      <c r="B32" s="13"/>
      <c r="C32" s="13"/>
      <c r="D32" s="13"/>
      <c r="E32" s="13"/>
      <c r="F32" s="9"/>
      <c r="G32" s="12" t="s">
        <v>91</v>
      </c>
      <c r="H32" s="13"/>
      <c r="I32" s="13"/>
      <c r="J32" s="13"/>
      <c r="K32" s="13"/>
    </row>
    <row r="33" spans="1:11" x14ac:dyDescent="0.25">
      <c r="A33" s="12" t="s">
        <v>92</v>
      </c>
      <c r="B33" s="13"/>
      <c r="C33" s="13"/>
      <c r="D33" s="13"/>
      <c r="E33" s="13"/>
      <c r="F33" s="9"/>
      <c r="G33" s="12" t="s">
        <v>92</v>
      </c>
      <c r="H33" s="13"/>
      <c r="I33" s="13"/>
      <c r="J33" s="13"/>
      <c r="K33" s="13"/>
    </row>
    <row r="34" spans="1:11" ht="15.75" thickBot="1" x14ac:dyDescent="0.3">
      <c r="A34" s="14" t="s">
        <v>93</v>
      </c>
      <c r="B34" s="15"/>
      <c r="C34" s="15"/>
      <c r="D34" s="15"/>
      <c r="E34" s="15"/>
      <c r="F34" s="9"/>
      <c r="G34" s="14" t="s">
        <v>93</v>
      </c>
      <c r="H34" s="15"/>
      <c r="I34" s="15"/>
      <c r="J34" s="15"/>
      <c r="K34" s="15"/>
    </row>
    <row r="35" spans="1:11" ht="15.75" thickBot="1" x14ac:dyDescent="0.3">
      <c r="A35" s="11" t="s">
        <v>94</v>
      </c>
      <c r="B35" s="16"/>
      <c r="C35" s="16"/>
      <c r="D35" s="16"/>
      <c r="E35" s="16"/>
      <c r="F35" s="9"/>
      <c r="G35" s="11" t="s">
        <v>94</v>
      </c>
      <c r="H35" s="16"/>
      <c r="I35" s="16"/>
      <c r="J35" s="16"/>
      <c r="K35" s="16"/>
    </row>
    <row r="36" spans="1:11" ht="15.75" thickTop="1" x14ac:dyDescent="0.25">
      <c r="A36" s="9"/>
      <c r="B36" s="9"/>
      <c r="C36" s="9"/>
      <c r="D36" s="9"/>
      <c r="E36" s="9"/>
      <c r="F36" s="9"/>
      <c r="G36" s="9"/>
      <c r="H36" s="9"/>
      <c r="I36" s="9"/>
      <c r="J36" s="9"/>
      <c r="K36" s="9"/>
    </row>
    <row r="38" spans="1:11" ht="15.75" x14ac:dyDescent="0.25">
      <c r="A38" s="72" t="s">
        <v>97</v>
      </c>
      <c r="B38" s="72"/>
      <c r="C38" s="72"/>
      <c r="D38" s="72"/>
      <c r="E38" s="72"/>
      <c r="F38" s="9"/>
      <c r="G38" s="9"/>
      <c r="H38" s="9"/>
      <c r="I38" s="9"/>
      <c r="J38" s="9"/>
      <c r="K38" s="9"/>
    </row>
    <row r="39" spans="1:11" x14ac:dyDescent="0.25">
      <c r="A39" s="12"/>
      <c r="B39" s="17" t="s">
        <v>98</v>
      </c>
      <c r="C39" s="17" t="s">
        <v>99</v>
      </c>
      <c r="D39" s="17" t="s">
        <v>100</v>
      </c>
      <c r="E39" s="17" t="s">
        <v>101</v>
      </c>
      <c r="F39" s="9"/>
      <c r="G39" s="9"/>
      <c r="H39" s="9"/>
      <c r="I39" s="9"/>
      <c r="J39" s="9"/>
      <c r="K39" s="9"/>
    </row>
    <row r="40" spans="1:11" x14ac:dyDescent="0.25">
      <c r="A40" s="12" t="s">
        <v>102</v>
      </c>
      <c r="B40" s="13" t="s">
        <v>190</v>
      </c>
      <c r="C40" s="13" t="s">
        <v>141</v>
      </c>
      <c r="D40" s="13" t="s">
        <v>205</v>
      </c>
      <c r="E40" s="13">
        <f>6472/3</f>
        <v>2157.3333333333335</v>
      </c>
      <c r="F40" s="9"/>
      <c r="G40" s="9"/>
      <c r="H40" s="9"/>
      <c r="I40" s="9"/>
      <c r="J40" s="9"/>
      <c r="K40" s="9"/>
    </row>
    <row r="41" spans="1:11" x14ac:dyDescent="0.25">
      <c r="A41" s="12" t="s">
        <v>103</v>
      </c>
      <c r="B41" s="13" t="s">
        <v>190</v>
      </c>
      <c r="C41" s="13" t="s">
        <v>141</v>
      </c>
      <c r="D41" s="13" t="s">
        <v>206</v>
      </c>
      <c r="E41" s="13">
        <f>5563/3</f>
        <v>1854.3333333333333</v>
      </c>
      <c r="F41" s="9"/>
      <c r="G41" s="9"/>
      <c r="H41" s="9"/>
      <c r="I41" s="9"/>
      <c r="J41" s="9"/>
      <c r="K41" s="9"/>
    </row>
    <row r="42" spans="1:11" x14ac:dyDescent="0.25">
      <c r="A42" s="12" t="s">
        <v>104</v>
      </c>
      <c r="B42" s="13" t="s">
        <v>190</v>
      </c>
      <c r="C42" s="13" t="s">
        <v>141</v>
      </c>
      <c r="D42" s="13" t="s">
        <v>207</v>
      </c>
      <c r="E42" s="13">
        <f>4736/3</f>
        <v>1578.6666666666667</v>
      </c>
      <c r="F42" s="9"/>
      <c r="G42" s="9"/>
      <c r="H42" s="9"/>
      <c r="I42" s="9"/>
      <c r="J42" s="9"/>
      <c r="K42" s="9"/>
    </row>
    <row r="43" spans="1:11" x14ac:dyDescent="0.25">
      <c r="A43" s="12" t="s">
        <v>105</v>
      </c>
      <c r="B43" s="13" t="s">
        <v>190</v>
      </c>
      <c r="C43" s="13" t="s">
        <v>141</v>
      </c>
      <c r="D43" s="13" t="s">
        <v>208</v>
      </c>
      <c r="E43" s="13">
        <f>4085/3</f>
        <v>1361.6666666666667</v>
      </c>
      <c r="F43" s="9"/>
      <c r="G43" s="9"/>
      <c r="H43" s="9"/>
      <c r="I43" s="9"/>
      <c r="J43" s="9"/>
      <c r="K43" s="9"/>
    </row>
    <row r="44" spans="1:11" x14ac:dyDescent="0.25">
      <c r="A44" s="12" t="s">
        <v>106</v>
      </c>
      <c r="B44" s="13"/>
      <c r="C44" s="13"/>
      <c r="D44" s="13"/>
      <c r="E44" s="13"/>
      <c r="F44" s="9"/>
      <c r="G44" s="9"/>
      <c r="H44" s="9"/>
      <c r="I44" s="9"/>
      <c r="J44" s="9"/>
      <c r="K44" s="9"/>
    </row>
    <row r="45" spans="1:11" x14ac:dyDescent="0.25">
      <c r="A45" s="12" t="s">
        <v>107</v>
      </c>
      <c r="B45" s="13"/>
      <c r="C45" s="13"/>
      <c r="D45" s="13"/>
      <c r="E45" s="13"/>
      <c r="F45" s="9"/>
      <c r="G45" s="9"/>
      <c r="H45" s="9"/>
      <c r="I45" s="9"/>
      <c r="J45" s="9"/>
      <c r="K45" s="9"/>
    </row>
    <row r="46" spans="1:11" x14ac:dyDescent="0.25">
      <c r="A46" s="12" t="s">
        <v>108</v>
      </c>
      <c r="B46" s="13"/>
      <c r="C46" s="13"/>
      <c r="D46" s="13"/>
      <c r="E46" s="13"/>
      <c r="F46" s="9"/>
      <c r="G46" s="9"/>
      <c r="H46" s="9"/>
      <c r="I46" s="9"/>
      <c r="J46" s="9"/>
      <c r="K46" s="9"/>
    </row>
    <row r="47" spans="1:11" x14ac:dyDescent="0.25">
      <c r="A47" s="12" t="s">
        <v>109</v>
      </c>
      <c r="B47" s="13"/>
      <c r="C47" s="13"/>
      <c r="D47" s="13"/>
      <c r="E47" s="13"/>
      <c r="F47" s="9"/>
      <c r="G47" s="9"/>
      <c r="H47" s="9"/>
      <c r="I47" s="9"/>
      <c r="J47" s="9"/>
      <c r="K47" s="9"/>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AVERAGE(E40:E53)</f>
        <v>1738.0000000000002</v>
      </c>
    </row>
  </sheetData>
  <mergeCells count="5">
    <mergeCell ref="A38:E38"/>
    <mergeCell ref="A1:E1"/>
    <mergeCell ref="G1:K1"/>
    <mergeCell ref="A19:E19"/>
    <mergeCell ref="G19:K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topLeftCell="A31" workbookViewId="0">
      <selection activeCell="P34" sqref="P34"/>
    </sheetView>
  </sheetViews>
  <sheetFormatPr defaultRowHeight="15" x14ac:dyDescent="0.25"/>
  <cols>
    <col min="1" max="4" width="9.140625" style="9"/>
    <col min="5" max="5" width="10.5703125" style="9" bestFit="1" customWidth="1"/>
    <col min="6" max="16384" width="9.140625" style="9"/>
  </cols>
  <sheetData>
    <row r="1" spans="1:11" ht="15.75" x14ac:dyDescent="0.25">
      <c r="A1" s="72" t="s">
        <v>96</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c r="C3" s="13"/>
      <c r="D3" s="13"/>
      <c r="E3" s="13"/>
      <c r="G3" s="12" t="s">
        <v>80</v>
      </c>
      <c r="H3" s="13"/>
      <c r="I3" s="13"/>
      <c r="J3" s="13"/>
      <c r="K3" s="13"/>
    </row>
    <row r="4" spans="1:11" x14ac:dyDescent="0.25">
      <c r="A4" s="12" t="s">
        <v>81</v>
      </c>
      <c r="B4" s="13"/>
      <c r="C4" s="13"/>
      <c r="D4" s="13"/>
      <c r="E4" s="13"/>
      <c r="G4" s="12" t="s">
        <v>81</v>
      </c>
      <c r="H4" s="13"/>
      <c r="I4" s="13"/>
      <c r="J4" s="13"/>
      <c r="K4" s="13"/>
    </row>
    <row r="5" spans="1:11" x14ac:dyDescent="0.25">
      <c r="A5" s="12" t="s">
        <v>82</v>
      </c>
      <c r="B5" s="13"/>
      <c r="C5" s="13"/>
      <c r="D5" s="13"/>
      <c r="E5" s="13"/>
      <c r="G5" s="12" t="s">
        <v>82</v>
      </c>
      <c r="H5" s="13"/>
      <c r="I5" s="13"/>
      <c r="J5" s="13"/>
      <c r="K5" s="13"/>
    </row>
    <row r="6" spans="1:11" x14ac:dyDescent="0.25">
      <c r="A6" s="12" t="s">
        <v>83</v>
      </c>
      <c r="B6" s="13"/>
      <c r="C6" s="13"/>
      <c r="D6" s="13"/>
      <c r="E6" s="13"/>
      <c r="G6" s="12" t="s">
        <v>83</v>
      </c>
      <c r="H6" s="13"/>
      <c r="I6" s="13"/>
      <c r="J6" s="13"/>
      <c r="K6" s="13"/>
    </row>
    <row r="7" spans="1:11" x14ac:dyDescent="0.25">
      <c r="A7" s="12" t="s">
        <v>84</v>
      </c>
      <c r="B7" s="13"/>
      <c r="C7" s="13"/>
      <c r="D7" s="13"/>
      <c r="E7" s="13"/>
      <c r="G7" s="12" t="s">
        <v>84</v>
      </c>
      <c r="H7" s="13"/>
      <c r="I7" s="13"/>
      <c r="J7" s="13"/>
      <c r="K7" s="13"/>
    </row>
    <row r="8" spans="1:11" x14ac:dyDescent="0.25">
      <c r="A8" s="12" t="s">
        <v>85</v>
      </c>
      <c r="B8" s="13"/>
      <c r="C8" s="13"/>
      <c r="D8" s="13"/>
      <c r="E8" s="13"/>
      <c r="G8" s="12" t="s">
        <v>85</v>
      </c>
      <c r="H8" s="13"/>
      <c r="I8" s="13"/>
      <c r="J8" s="13"/>
      <c r="K8" s="13"/>
    </row>
    <row r="9" spans="1:11" x14ac:dyDescent="0.25">
      <c r="A9" s="12" t="s">
        <v>86</v>
      </c>
      <c r="B9" s="13"/>
      <c r="C9" s="13"/>
      <c r="D9" s="13"/>
      <c r="E9" s="13"/>
      <c r="G9" s="12" t="s">
        <v>86</v>
      </c>
      <c r="H9" s="13"/>
      <c r="I9" s="13"/>
      <c r="J9" s="13"/>
      <c r="K9" s="13"/>
    </row>
    <row r="10" spans="1:11" x14ac:dyDescent="0.25">
      <c r="A10" s="12" t="s">
        <v>87</v>
      </c>
      <c r="B10" s="13"/>
      <c r="C10" s="13"/>
      <c r="D10" s="13"/>
      <c r="E10" s="13"/>
      <c r="G10" s="12" t="s">
        <v>87</v>
      </c>
      <c r="H10" s="13"/>
      <c r="I10" s="13"/>
      <c r="J10" s="13"/>
      <c r="K10" s="13"/>
    </row>
    <row r="11" spans="1:11" x14ac:dyDescent="0.25">
      <c r="A11" s="12" t="s">
        <v>88</v>
      </c>
      <c r="B11" s="13"/>
      <c r="C11" s="13"/>
      <c r="D11" s="13"/>
      <c r="E11" s="13"/>
      <c r="G11" s="12" t="s">
        <v>88</v>
      </c>
      <c r="H11" s="13"/>
      <c r="I11" s="13"/>
      <c r="J11" s="13"/>
      <c r="K11" s="13"/>
    </row>
    <row r="12" spans="1:11" x14ac:dyDescent="0.25">
      <c r="A12" s="12" t="s">
        <v>89</v>
      </c>
      <c r="B12" s="13"/>
      <c r="C12" s="13"/>
      <c r="D12" s="13"/>
      <c r="E12" s="13"/>
      <c r="G12" s="12" t="s">
        <v>89</v>
      </c>
      <c r="H12" s="13"/>
      <c r="I12" s="13"/>
      <c r="J12" s="13"/>
      <c r="K12" s="13"/>
    </row>
    <row r="13" spans="1:11" x14ac:dyDescent="0.25">
      <c r="A13" s="12" t="s">
        <v>90</v>
      </c>
      <c r="B13" s="13"/>
      <c r="C13" s="13"/>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1" ht="15.75" thickBot="1" x14ac:dyDescent="0.3">
      <c r="A17" s="11" t="s">
        <v>94</v>
      </c>
      <c r="B17" s="16"/>
      <c r="C17" s="16"/>
      <c r="D17" s="16"/>
      <c r="E17" s="16"/>
      <c r="G17" s="11" t="s">
        <v>94</v>
      </c>
      <c r="H17" s="16"/>
      <c r="I17" s="16"/>
      <c r="J17" s="16"/>
      <c r="K17" s="16"/>
    </row>
    <row r="18" spans="1:11" ht="15.75" thickTop="1" x14ac:dyDescent="0.25"/>
    <row r="19" spans="1:11" ht="15.75" x14ac:dyDescent="0.25">
      <c r="A19" s="72" t="s">
        <v>95</v>
      </c>
      <c r="B19" s="72"/>
      <c r="C19" s="72"/>
      <c r="D19" s="72"/>
      <c r="E19" s="72"/>
      <c r="G19" s="72" t="s">
        <v>74</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80</v>
      </c>
      <c r="H21" s="13"/>
      <c r="I21" s="13">
        <f>1975/3</f>
        <v>658.33333333333337</v>
      </c>
      <c r="J21" s="13"/>
      <c r="K21" s="13"/>
    </row>
    <row r="22" spans="1:11" x14ac:dyDescent="0.25">
      <c r="A22" s="12" t="s">
        <v>81</v>
      </c>
      <c r="B22" s="13"/>
      <c r="C22" s="13"/>
      <c r="D22" s="13"/>
      <c r="E22" s="13"/>
      <c r="G22" s="12" t="s">
        <v>81</v>
      </c>
      <c r="H22" s="13"/>
      <c r="I22" s="13">
        <f>1850/3</f>
        <v>616.66666666666663</v>
      </c>
      <c r="J22" s="13"/>
      <c r="K22" s="13"/>
    </row>
    <row r="23" spans="1:11" x14ac:dyDescent="0.25">
      <c r="A23" s="12" t="s">
        <v>82</v>
      </c>
      <c r="B23" s="13"/>
      <c r="C23" s="13"/>
      <c r="D23" s="13"/>
      <c r="E23" s="13"/>
      <c r="G23" s="12" t="s">
        <v>82</v>
      </c>
      <c r="H23" s="13">
        <f>2375/3</f>
        <v>791.66666666666663</v>
      </c>
      <c r="I23" s="13"/>
      <c r="J23" s="13"/>
      <c r="K23" s="13"/>
    </row>
    <row r="24" spans="1:11" x14ac:dyDescent="0.25">
      <c r="A24" s="12" t="s">
        <v>83</v>
      </c>
      <c r="B24" s="13"/>
      <c r="C24" s="13"/>
      <c r="D24" s="13"/>
      <c r="E24" s="13"/>
      <c r="G24" s="12" t="s">
        <v>83</v>
      </c>
      <c r="H24" s="13">
        <f>2250/3</f>
        <v>750</v>
      </c>
      <c r="I24" s="13"/>
      <c r="J24" s="13"/>
      <c r="K24" s="13"/>
    </row>
    <row r="25" spans="1:11" x14ac:dyDescent="0.25">
      <c r="A25" s="12" t="s">
        <v>84</v>
      </c>
      <c r="B25" s="13"/>
      <c r="C25" s="13"/>
      <c r="D25" s="13"/>
      <c r="E25" s="13"/>
      <c r="G25" s="12" t="s">
        <v>84</v>
      </c>
      <c r="H25" s="13"/>
      <c r="I25" s="13">
        <f>2370/3</f>
        <v>790</v>
      </c>
      <c r="J25" s="13"/>
      <c r="K25" s="13"/>
    </row>
    <row r="26" spans="1:11" x14ac:dyDescent="0.25">
      <c r="A26" s="12" t="s">
        <v>85</v>
      </c>
      <c r="B26" s="13"/>
      <c r="C26" s="13"/>
      <c r="D26" s="13"/>
      <c r="E26" s="13"/>
      <c r="G26" s="12" t="s">
        <v>85</v>
      </c>
      <c r="H26" s="13"/>
      <c r="I26" s="13">
        <f>2220/3</f>
        <v>740</v>
      </c>
      <c r="J26" s="13"/>
      <c r="K26" s="13"/>
    </row>
    <row r="27" spans="1:11" x14ac:dyDescent="0.25">
      <c r="A27" s="12" t="s">
        <v>86</v>
      </c>
      <c r="B27" s="13"/>
      <c r="C27" s="13"/>
      <c r="D27" s="13"/>
      <c r="E27" s="13"/>
      <c r="G27" s="12" t="s">
        <v>86</v>
      </c>
      <c r="H27" s="13"/>
      <c r="I27" s="13">
        <f>2220/3</f>
        <v>740</v>
      </c>
      <c r="J27" s="13"/>
      <c r="K27" s="13"/>
    </row>
    <row r="28" spans="1:11" x14ac:dyDescent="0.25">
      <c r="A28" s="12" t="s">
        <v>87</v>
      </c>
      <c r="B28" s="13"/>
      <c r="C28" s="13"/>
      <c r="D28" s="13"/>
      <c r="E28" s="13"/>
      <c r="G28" s="12" t="s">
        <v>87</v>
      </c>
      <c r="H28" s="13"/>
      <c r="I28" s="13">
        <f>1850/3</f>
        <v>616.66666666666663</v>
      </c>
      <c r="J28" s="13"/>
      <c r="K28" s="13"/>
    </row>
    <row r="29" spans="1:11" x14ac:dyDescent="0.25">
      <c r="A29" s="12" t="s">
        <v>88</v>
      </c>
      <c r="B29" s="13"/>
      <c r="C29" s="13"/>
      <c r="D29" s="13"/>
      <c r="E29" s="13"/>
      <c r="G29" s="12" t="s">
        <v>88</v>
      </c>
      <c r="H29" s="13">
        <f>2250/3</f>
        <v>750</v>
      </c>
      <c r="I29" s="13"/>
      <c r="J29" s="13"/>
      <c r="K29" s="13"/>
    </row>
    <row r="30" spans="1:11" x14ac:dyDescent="0.25">
      <c r="A30" s="12" t="s">
        <v>89</v>
      </c>
      <c r="B30" s="13"/>
      <c r="C30" s="13"/>
      <c r="D30" s="13"/>
      <c r="E30" s="13"/>
      <c r="G30" s="12" t="s">
        <v>89</v>
      </c>
      <c r="H30" s="13"/>
      <c r="I30" s="13">
        <f>2370/3</f>
        <v>790</v>
      </c>
      <c r="J30" s="13"/>
      <c r="K30" s="13"/>
    </row>
    <row r="31" spans="1:11" x14ac:dyDescent="0.25">
      <c r="A31" s="12" t="s">
        <v>90</v>
      </c>
      <c r="B31" s="13"/>
      <c r="C31" s="13"/>
      <c r="D31" s="13"/>
      <c r="E31" s="13"/>
      <c r="G31" s="12" t="s">
        <v>90</v>
      </c>
      <c r="H31" s="13"/>
      <c r="I31" s="13">
        <f>2220/3</f>
        <v>740</v>
      </c>
      <c r="J31" s="13"/>
      <c r="K31" s="13"/>
    </row>
    <row r="32" spans="1:11" x14ac:dyDescent="0.25">
      <c r="A32" s="12" t="s">
        <v>91</v>
      </c>
      <c r="B32" s="13"/>
      <c r="C32" s="13"/>
      <c r="D32" s="13"/>
      <c r="E32" s="13"/>
      <c r="G32" s="12" t="s">
        <v>91</v>
      </c>
      <c r="H32" s="13"/>
      <c r="I32" s="13">
        <f>2220/3</f>
        <v>740</v>
      </c>
      <c r="J32" s="13"/>
      <c r="K32" s="13"/>
    </row>
    <row r="33" spans="1:12" x14ac:dyDescent="0.25">
      <c r="A33" s="12" t="s">
        <v>92</v>
      </c>
      <c r="B33" s="13"/>
      <c r="C33" s="13"/>
      <c r="D33" s="13"/>
      <c r="E33" s="13"/>
      <c r="G33" s="12" t="s">
        <v>92</v>
      </c>
      <c r="H33" s="13"/>
      <c r="I33" s="13"/>
      <c r="J33" s="13">
        <f>2244/3</f>
        <v>748</v>
      </c>
      <c r="K33" s="13"/>
    </row>
    <row r="34" spans="1:12" x14ac:dyDescent="0.25">
      <c r="A34" s="19"/>
      <c r="B34" s="20"/>
      <c r="C34" s="20"/>
      <c r="D34" s="20"/>
      <c r="E34" s="20"/>
      <c r="G34" s="19" t="s">
        <v>93</v>
      </c>
      <c r="H34" s="20"/>
      <c r="I34" s="20"/>
      <c r="J34" s="20">
        <f>2103/3</f>
        <v>701</v>
      </c>
      <c r="K34" s="20"/>
    </row>
    <row r="35" spans="1:12" x14ac:dyDescent="0.25">
      <c r="A35" s="19"/>
      <c r="B35" s="20"/>
      <c r="C35" s="20"/>
      <c r="D35" s="20"/>
      <c r="E35" s="20"/>
      <c r="G35" s="19" t="s">
        <v>120</v>
      </c>
      <c r="H35" s="20"/>
      <c r="I35" s="20"/>
      <c r="J35" s="20">
        <f>2103/3</f>
        <v>701</v>
      </c>
      <c r="K35" s="20"/>
    </row>
    <row r="36" spans="1:12" x14ac:dyDescent="0.25">
      <c r="A36" s="19"/>
      <c r="B36" s="20"/>
      <c r="C36" s="20"/>
      <c r="D36" s="20"/>
      <c r="E36" s="20"/>
      <c r="G36" s="19" t="s">
        <v>121</v>
      </c>
      <c r="H36" s="20">
        <f>2275/3</f>
        <v>758.33333333333337</v>
      </c>
      <c r="I36" s="20"/>
      <c r="J36" s="20"/>
      <c r="K36" s="20"/>
    </row>
    <row r="37" spans="1:12" x14ac:dyDescent="0.25">
      <c r="A37" s="19"/>
      <c r="B37" s="20"/>
      <c r="C37" s="20"/>
      <c r="D37" s="20"/>
      <c r="E37" s="20"/>
      <c r="G37" s="19" t="s">
        <v>122</v>
      </c>
      <c r="H37" s="20">
        <f>2150/3</f>
        <v>716.66666666666663</v>
      </c>
      <c r="I37" s="20"/>
      <c r="J37" s="20"/>
      <c r="K37" s="20"/>
    </row>
    <row r="38" spans="1:12" x14ac:dyDescent="0.25">
      <c r="A38" s="19"/>
      <c r="B38" s="20"/>
      <c r="C38" s="20"/>
      <c r="D38" s="20"/>
      <c r="E38" s="20"/>
      <c r="G38" s="19" t="s">
        <v>123</v>
      </c>
      <c r="H38" s="20">
        <f>2150/3</f>
        <v>716.66666666666663</v>
      </c>
      <c r="I38" s="20"/>
      <c r="J38" s="20"/>
      <c r="K38" s="20"/>
    </row>
    <row r="39" spans="1:12" x14ac:dyDescent="0.25">
      <c r="A39" s="19"/>
      <c r="B39" s="20"/>
      <c r="C39" s="20"/>
      <c r="D39" s="20"/>
      <c r="E39" s="20"/>
      <c r="G39" s="19" t="s">
        <v>124</v>
      </c>
      <c r="H39" s="20"/>
      <c r="I39" s="20">
        <f>2075/3</f>
        <v>691.66666666666663</v>
      </c>
      <c r="J39" s="20"/>
      <c r="K39" s="20"/>
      <c r="L39" s="9" t="s">
        <v>127</v>
      </c>
    </row>
    <row r="40" spans="1:12" x14ac:dyDescent="0.25">
      <c r="A40" s="19"/>
      <c r="B40" s="20"/>
      <c r="C40" s="20"/>
      <c r="D40" s="20"/>
      <c r="E40" s="20"/>
      <c r="G40" s="19" t="s">
        <v>125</v>
      </c>
      <c r="H40" s="20"/>
      <c r="I40" s="20">
        <f>1950/3</f>
        <v>650</v>
      </c>
      <c r="J40" s="20"/>
      <c r="K40" s="20"/>
      <c r="L40" s="9" t="s">
        <v>127</v>
      </c>
    </row>
    <row r="41" spans="1:12" ht="15.75" thickBot="1" x14ac:dyDescent="0.3">
      <c r="A41" s="14" t="s">
        <v>93</v>
      </c>
      <c r="B41" s="15"/>
      <c r="C41" s="15"/>
      <c r="D41" s="15"/>
      <c r="E41" s="15"/>
      <c r="G41" s="14" t="s">
        <v>126</v>
      </c>
      <c r="H41" s="15"/>
      <c r="I41" s="15">
        <f>1950/3</f>
        <v>650</v>
      </c>
      <c r="J41" s="15"/>
      <c r="K41" s="15"/>
      <c r="L41" s="9" t="s">
        <v>127</v>
      </c>
    </row>
    <row r="42" spans="1:12" ht="15.75" thickBot="1" x14ac:dyDescent="0.3">
      <c r="A42" s="11" t="s">
        <v>94</v>
      </c>
      <c r="B42" s="16"/>
      <c r="C42" s="16"/>
      <c r="D42" s="16"/>
      <c r="E42" s="16"/>
      <c r="G42" s="11" t="s">
        <v>94</v>
      </c>
      <c r="H42" s="16">
        <f>AVERAGE(H21:H41)</f>
        <v>747.22222222222217</v>
      </c>
      <c r="I42" s="16">
        <f t="shared" ref="I42:J42" si="0">AVERAGE(I21:I41)</f>
        <v>701.94444444444446</v>
      </c>
      <c r="J42" s="16">
        <f t="shared" si="0"/>
        <v>716.66666666666663</v>
      </c>
      <c r="K42" s="16"/>
    </row>
    <row r="43" spans="1:12" ht="15.75" thickTop="1" x14ac:dyDescent="0.25"/>
    <row r="45" spans="1:12" ht="15.75" x14ac:dyDescent="0.25">
      <c r="A45" s="72" t="s">
        <v>97</v>
      </c>
      <c r="B45" s="72"/>
      <c r="C45" s="72"/>
      <c r="D45" s="72"/>
      <c r="E45" s="72"/>
    </row>
    <row r="46" spans="1:12" x14ac:dyDescent="0.25">
      <c r="A46" s="12"/>
      <c r="B46" s="17" t="s">
        <v>98</v>
      </c>
      <c r="C46" s="17" t="s">
        <v>99</v>
      </c>
      <c r="D46" s="17" t="s">
        <v>100</v>
      </c>
      <c r="E46" s="17" t="s">
        <v>101</v>
      </c>
    </row>
    <row r="47" spans="1:12" x14ac:dyDescent="0.25">
      <c r="A47" s="12" t="s">
        <v>102</v>
      </c>
      <c r="B47" s="13" t="s">
        <v>128</v>
      </c>
      <c r="C47" s="13" t="s">
        <v>131</v>
      </c>
      <c r="D47" s="13" t="s">
        <v>133</v>
      </c>
      <c r="E47" s="13">
        <v>1900</v>
      </c>
    </row>
    <row r="48" spans="1:12" x14ac:dyDescent="0.25">
      <c r="A48" s="12" t="s">
        <v>103</v>
      </c>
      <c r="B48" s="13" t="s">
        <v>128</v>
      </c>
      <c r="C48" s="13" t="s">
        <v>131</v>
      </c>
      <c r="D48" s="13" t="s">
        <v>132</v>
      </c>
      <c r="E48" s="13">
        <v>1530</v>
      </c>
    </row>
    <row r="49" spans="1:5" x14ac:dyDescent="0.25">
      <c r="A49" s="12" t="s">
        <v>104</v>
      </c>
      <c r="B49" s="13" t="s">
        <v>129</v>
      </c>
      <c r="C49" s="13" t="s">
        <v>130</v>
      </c>
      <c r="D49" s="13" t="s">
        <v>134</v>
      </c>
      <c r="E49" s="13">
        <v>1045</v>
      </c>
    </row>
    <row r="50" spans="1:5" x14ac:dyDescent="0.25">
      <c r="A50" s="12" t="s">
        <v>105</v>
      </c>
      <c r="B50" s="13"/>
      <c r="C50" s="13"/>
      <c r="D50" s="13"/>
      <c r="E50" s="13"/>
    </row>
    <row r="51" spans="1:5" x14ac:dyDescent="0.25">
      <c r="A51" s="12" t="s">
        <v>106</v>
      </c>
      <c r="B51" s="13"/>
      <c r="C51" s="13"/>
      <c r="D51" s="13"/>
      <c r="E51" s="13"/>
    </row>
    <row r="52" spans="1:5" x14ac:dyDescent="0.25">
      <c r="A52" s="12" t="s">
        <v>107</v>
      </c>
      <c r="B52" s="13"/>
      <c r="C52" s="13"/>
      <c r="D52" s="13"/>
      <c r="E52" s="13"/>
    </row>
    <row r="53" spans="1:5" x14ac:dyDescent="0.25">
      <c r="A53" s="12" t="s">
        <v>108</v>
      </c>
      <c r="B53" s="13"/>
      <c r="C53" s="13"/>
      <c r="D53" s="13"/>
      <c r="E53" s="13"/>
    </row>
    <row r="54" spans="1:5" x14ac:dyDescent="0.25">
      <c r="A54" s="12" t="s">
        <v>109</v>
      </c>
      <c r="B54" s="13"/>
      <c r="C54" s="13"/>
      <c r="D54" s="13"/>
      <c r="E54" s="13"/>
    </row>
    <row r="55" spans="1:5" x14ac:dyDescent="0.25">
      <c r="A55" s="12" t="s">
        <v>110</v>
      </c>
      <c r="B55" s="13"/>
      <c r="C55" s="13"/>
      <c r="D55" s="13"/>
      <c r="E55" s="13"/>
    </row>
    <row r="56" spans="1:5" x14ac:dyDescent="0.25">
      <c r="A56" s="12" t="s">
        <v>111</v>
      </c>
      <c r="B56" s="13"/>
      <c r="C56" s="13"/>
      <c r="D56" s="13"/>
      <c r="E56" s="13"/>
    </row>
    <row r="57" spans="1:5" x14ac:dyDescent="0.25">
      <c r="A57" s="12" t="s">
        <v>112</v>
      </c>
      <c r="B57" s="13"/>
      <c r="C57" s="13"/>
      <c r="D57" s="13"/>
      <c r="E57" s="13"/>
    </row>
    <row r="58" spans="1:5" x14ac:dyDescent="0.25">
      <c r="A58" s="12" t="s">
        <v>113</v>
      </c>
      <c r="B58" s="13"/>
      <c r="C58" s="13"/>
      <c r="D58" s="13"/>
      <c r="E58" s="13"/>
    </row>
    <row r="59" spans="1:5" x14ac:dyDescent="0.25">
      <c r="A59" s="12" t="s">
        <v>114</v>
      </c>
      <c r="B59" s="13"/>
      <c r="C59" s="13"/>
      <c r="D59" s="13"/>
      <c r="E59" s="13"/>
    </row>
    <row r="60" spans="1:5" ht="15.75" thickBot="1" x14ac:dyDescent="0.3">
      <c r="A60" s="12" t="s">
        <v>115</v>
      </c>
      <c r="B60" s="15"/>
      <c r="C60" s="15"/>
      <c r="D60" s="15"/>
      <c r="E60" s="15"/>
    </row>
    <row r="61" spans="1:5" ht="15.75" thickBot="1" x14ac:dyDescent="0.3">
      <c r="A61" s="11" t="s">
        <v>94</v>
      </c>
      <c r="B61" s="16"/>
      <c r="C61" s="16"/>
      <c r="D61" s="16"/>
      <c r="E61" s="16">
        <f>AVERAGE(E47:E60)</f>
        <v>1491.6666666666667</v>
      </c>
    </row>
  </sheetData>
  <mergeCells count="5">
    <mergeCell ref="A1:E1"/>
    <mergeCell ref="G1:K1"/>
    <mergeCell ref="A19:E19"/>
    <mergeCell ref="G19:K19"/>
    <mergeCell ref="A45:E4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opLeftCell="A22" workbookViewId="0">
      <selection activeCell="H21" sqref="H21"/>
    </sheetView>
  </sheetViews>
  <sheetFormatPr defaultRowHeight="15" x14ac:dyDescent="0.25"/>
  <cols>
    <col min="1" max="4" width="9.140625" style="9"/>
    <col min="5" max="5" width="10.5703125" style="9" bestFit="1" customWidth="1"/>
    <col min="6" max="7" width="9.140625" style="9"/>
    <col min="8" max="9" width="10.5703125" style="9" bestFit="1" customWidth="1"/>
    <col min="10" max="16384" width="9.140625" style="9"/>
  </cols>
  <sheetData>
    <row r="1" spans="1:11" ht="15.75" x14ac:dyDescent="0.25">
      <c r="A1" s="72" t="s">
        <v>74</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c r="C3" s="13"/>
      <c r="D3" s="13"/>
      <c r="E3" s="13"/>
      <c r="G3" s="12" t="s">
        <v>80</v>
      </c>
      <c r="H3" s="13">
        <f>5005/3</f>
        <v>1668.3333333333333</v>
      </c>
      <c r="I3" s="13"/>
      <c r="J3" s="13"/>
      <c r="K3" s="13"/>
    </row>
    <row r="4" spans="1:11" x14ac:dyDescent="0.25">
      <c r="A4" s="12" t="s">
        <v>81</v>
      </c>
      <c r="B4" s="13"/>
      <c r="C4" s="13"/>
      <c r="D4" s="13"/>
      <c r="E4" s="13"/>
      <c r="G4" s="12" t="s">
        <v>81</v>
      </c>
      <c r="H4" s="13"/>
      <c r="I4" s="13">
        <f>4570/3</f>
        <v>1523.3333333333333</v>
      </c>
      <c r="J4" s="13"/>
      <c r="K4" s="13"/>
    </row>
    <row r="5" spans="1:11" x14ac:dyDescent="0.25">
      <c r="A5" s="12" t="s">
        <v>82</v>
      </c>
      <c r="B5" s="13"/>
      <c r="C5" s="13"/>
      <c r="D5" s="13"/>
      <c r="E5" s="13"/>
      <c r="G5" s="12" t="s">
        <v>82</v>
      </c>
      <c r="H5" s="13"/>
      <c r="I5" s="13"/>
      <c r="J5" s="13"/>
      <c r="K5" s="13"/>
    </row>
    <row r="6" spans="1:11" x14ac:dyDescent="0.25">
      <c r="A6" s="12" t="s">
        <v>83</v>
      </c>
      <c r="B6" s="13"/>
      <c r="C6" s="13"/>
      <c r="D6" s="13"/>
      <c r="E6" s="13"/>
      <c r="G6" s="12" t="s">
        <v>83</v>
      </c>
      <c r="H6" s="13"/>
      <c r="I6" s="13"/>
      <c r="J6" s="13"/>
      <c r="K6" s="13"/>
    </row>
    <row r="7" spans="1:11" x14ac:dyDescent="0.25">
      <c r="A7" s="12" t="s">
        <v>84</v>
      </c>
      <c r="B7" s="13"/>
      <c r="C7" s="13"/>
      <c r="D7" s="13"/>
      <c r="E7" s="13"/>
      <c r="G7" s="12" t="s">
        <v>84</v>
      </c>
      <c r="H7" s="13"/>
      <c r="I7" s="13"/>
      <c r="J7" s="13"/>
      <c r="K7" s="13"/>
    </row>
    <row r="8" spans="1:11" x14ac:dyDescent="0.25">
      <c r="A8" s="12" t="s">
        <v>85</v>
      </c>
      <c r="B8" s="13"/>
      <c r="C8" s="13"/>
      <c r="D8" s="13"/>
      <c r="E8" s="13"/>
      <c r="G8" s="12" t="s">
        <v>85</v>
      </c>
      <c r="H8" s="13"/>
      <c r="I8" s="13"/>
      <c r="J8" s="13"/>
      <c r="K8" s="13"/>
    </row>
    <row r="9" spans="1:11" x14ac:dyDescent="0.25">
      <c r="A9" s="12" t="s">
        <v>86</v>
      </c>
      <c r="B9" s="13"/>
      <c r="C9" s="13"/>
      <c r="D9" s="13"/>
      <c r="E9" s="13"/>
      <c r="G9" s="12" t="s">
        <v>86</v>
      </c>
      <c r="H9" s="13"/>
      <c r="I9" s="13"/>
      <c r="J9" s="13"/>
      <c r="K9" s="13"/>
    </row>
    <row r="10" spans="1:11" x14ac:dyDescent="0.25">
      <c r="A10" s="12" t="s">
        <v>87</v>
      </c>
      <c r="B10" s="13"/>
      <c r="C10" s="13"/>
      <c r="D10" s="13"/>
      <c r="E10" s="13"/>
      <c r="G10" s="12" t="s">
        <v>87</v>
      </c>
      <c r="H10" s="13"/>
      <c r="I10" s="13"/>
      <c r="J10" s="13"/>
      <c r="K10" s="13"/>
    </row>
    <row r="11" spans="1:11" x14ac:dyDescent="0.25">
      <c r="A11" s="12" t="s">
        <v>88</v>
      </c>
      <c r="B11" s="13"/>
      <c r="C11" s="13"/>
      <c r="D11" s="13"/>
      <c r="E11" s="13"/>
      <c r="G11" s="12" t="s">
        <v>88</v>
      </c>
      <c r="H11" s="13"/>
      <c r="I11" s="13"/>
      <c r="J11" s="13"/>
      <c r="K11" s="13"/>
    </row>
    <row r="12" spans="1:11" x14ac:dyDescent="0.25">
      <c r="A12" s="12" t="s">
        <v>89</v>
      </c>
      <c r="B12" s="13"/>
      <c r="C12" s="13"/>
      <c r="D12" s="13"/>
      <c r="E12" s="13"/>
      <c r="G12" s="12" t="s">
        <v>89</v>
      </c>
      <c r="H12" s="13"/>
      <c r="I12" s="13"/>
      <c r="J12" s="13"/>
      <c r="K12" s="13"/>
    </row>
    <row r="13" spans="1:11" x14ac:dyDescent="0.25">
      <c r="A13" s="12" t="s">
        <v>90</v>
      </c>
      <c r="B13" s="13"/>
      <c r="C13" s="13"/>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1" ht="15.75" thickBot="1" x14ac:dyDescent="0.3">
      <c r="A17" s="11" t="s">
        <v>94</v>
      </c>
      <c r="B17" s="16"/>
      <c r="C17" s="16"/>
      <c r="D17" s="16"/>
      <c r="E17" s="16"/>
      <c r="G17" s="11" t="s">
        <v>94</v>
      </c>
      <c r="H17" s="16">
        <f>AVERAGE(H3:H16)</f>
        <v>1668.3333333333333</v>
      </c>
      <c r="I17" s="16">
        <f>AVERAGE(I3:I16)</f>
        <v>1523.3333333333333</v>
      </c>
      <c r="J17" s="16"/>
      <c r="K17" s="16"/>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80</v>
      </c>
      <c r="H21" s="13">
        <f>6170/3</f>
        <v>2056.6666666666665</v>
      </c>
      <c r="I21" s="13"/>
      <c r="J21" s="13"/>
      <c r="K21" s="13"/>
    </row>
    <row r="22" spans="1:11" x14ac:dyDescent="0.25">
      <c r="A22" s="12" t="s">
        <v>81</v>
      </c>
      <c r="B22" s="13"/>
      <c r="C22" s="13"/>
      <c r="D22" s="13"/>
      <c r="E22" s="13"/>
      <c r="G22" s="12" t="s">
        <v>81</v>
      </c>
      <c r="H22" s="13"/>
      <c r="I22" s="13"/>
      <c r="J22" s="13"/>
      <c r="K22" s="13"/>
    </row>
    <row r="23" spans="1:11" x14ac:dyDescent="0.25">
      <c r="A23" s="12" t="s">
        <v>82</v>
      </c>
      <c r="B23" s="13"/>
      <c r="C23" s="13"/>
      <c r="D23" s="13"/>
      <c r="E23" s="13"/>
      <c r="G23" s="12" t="s">
        <v>82</v>
      </c>
      <c r="H23" s="13"/>
      <c r="I23" s="13"/>
      <c r="J23" s="13"/>
      <c r="K23" s="13"/>
    </row>
    <row r="24" spans="1:11" x14ac:dyDescent="0.25">
      <c r="A24" s="12" t="s">
        <v>83</v>
      </c>
      <c r="B24" s="13"/>
      <c r="C24" s="13"/>
      <c r="D24" s="13"/>
      <c r="E24" s="13"/>
      <c r="G24" s="12" t="s">
        <v>83</v>
      </c>
      <c r="H24" s="13"/>
      <c r="I24" s="13"/>
      <c r="J24" s="13"/>
      <c r="K24" s="13"/>
    </row>
    <row r="25" spans="1:11" x14ac:dyDescent="0.25">
      <c r="A25" s="12" t="s">
        <v>84</v>
      </c>
      <c r="B25" s="13"/>
      <c r="C25" s="13"/>
      <c r="D25" s="13"/>
      <c r="E25" s="13"/>
      <c r="G25" s="12" t="s">
        <v>84</v>
      </c>
      <c r="H25" s="13"/>
      <c r="I25" s="13"/>
      <c r="J25" s="13"/>
      <c r="K25" s="13"/>
    </row>
    <row r="26" spans="1:11" x14ac:dyDescent="0.25">
      <c r="A26" s="12" t="s">
        <v>85</v>
      </c>
      <c r="B26" s="13"/>
      <c r="C26" s="13"/>
      <c r="D26" s="13"/>
      <c r="E26" s="13"/>
      <c r="G26" s="12" t="s">
        <v>85</v>
      </c>
      <c r="H26" s="13"/>
      <c r="I26" s="13"/>
      <c r="J26" s="13"/>
      <c r="K26" s="13"/>
    </row>
    <row r="27" spans="1:11" x14ac:dyDescent="0.25">
      <c r="A27" s="12" t="s">
        <v>86</v>
      </c>
      <c r="B27" s="13"/>
      <c r="C27" s="13"/>
      <c r="D27" s="13"/>
      <c r="E27" s="13"/>
      <c r="G27" s="12" t="s">
        <v>86</v>
      </c>
      <c r="H27" s="13"/>
      <c r="I27" s="13"/>
      <c r="J27" s="13"/>
      <c r="K27" s="13"/>
    </row>
    <row r="28" spans="1:11" x14ac:dyDescent="0.25">
      <c r="A28" s="12" t="s">
        <v>87</v>
      </c>
      <c r="B28" s="13"/>
      <c r="C28" s="13"/>
      <c r="D28" s="13"/>
      <c r="E28" s="13"/>
      <c r="G28" s="12" t="s">
        <v>87</v>
      </c>
      <c r="H28" s="13"/>
      <c r="I28" s="13"/>
      <c r="J28" s="13"/>
      <c r="K28" s="13"/>
    </row>
    <row r="29" spans="1:11" x14ac:dyDescent="0.25">
      <c r="A29" s="12" t="s">
        <v>88</v>
      </c>
      <c r="B29" s="13"/>
      <c r="C29" s="13"/>
      <c r="D29" s="13"/>
      <c r="E29" s="13"/>
      <c r="G29" s="12" t="s">
        <v>88</v>
      </c>
      <c r="H29" s="13"/>
      <c r="I29" s="13"/>
      <c r="J29" s="13"/>
      <c r="K29" s="13"/>
    </row>
    <row r="30" spans="1:11" x14ac:dyDescent="0.25">
      <c r="A30" s="12" t="s">
        <v>89</v>
      </c>
      <c r="B30" s="13"/>
      <c r="C30" s="13"/>
      <c r="D30" s="13"/>
      <c r="E30" s="13"/>
      <c r="G30" s="12" t="s">
        <v>89</v>
      </c>
      <c r="H30" s="13"/>
      <c r="I30" s="13"/>
      <c r="J30" s="13"/>
      <c r="K30" s="13"/>
    </row>
    <row r="31" spans="1:11" x14ac:dyDescent="0.25">
      <c r="A31" s="12" t="s">
        <v>90</v>
      </c>
      <c r="B31" s="13"/>
      <c r="C31" s="13"/>
      <c r="D31" s="13"/>
      <c r="E31" s="13"/>
      <c r="G31" s="12" t="s">
        <v>90</v>
      </c>
      <c r="H31" s="13"/>
      <c r="I31" s="13"/>
      <c r="J31" s="13"/>
      <c r="K31" s="13"/>
    </row>
    <row r="32" spans="1:11"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f>AVERAGE(H21:H34)</f>
        <v>2056.6666666666665</v>
      </c>
      <c r="I35" s="16"/>
      <c r="J35" s="16"/>
      <c r="K35" s="16"/>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t="s">
        <v>135</v>
      </c>
      <c r="C40" s="13" t="s">
        <v>136</v>
      </c>
      <c r="D40" s="13" t="s">
        <v>139</v>
      </c>
      <c r="E40" s="13">
        <f>(1899+1708+1708)/3</f>
        <v>1771.6666666666667</v>
      </c>
    </row>
    <row r="41" spans="1:11" x14ac:dyDescent="0.25">
      <c r="A41" s="12" t="s">
        <v>103</v>
      </c>
      <c r="B41" s="13" t="s">
        <v>137</v>
      </c>
      <c r="C41" s="13" t="s">
        <v>136</v>
      </c>
      <c r="D41" s="13" t="s">
        <v>140</v>
      </c>
      <c r="E41" s="13">
        <f>(1445+1310+1310)/3</f>
        <v>1355</v>
      </c>
    </row>
    <row r="42" spans="1:11" x14ac:dyDescent="0.25">
      <c r="A42" s="12" t="s">
        <v>104</v>
      </c>
      <c r="B42" s="13" t="s">
        <v>137</v>
      </c>
      <c r="C42" s="13" t="s">
        <v>141</v>
      </c>
      <c r="D42" s="13" t="s">
        <v>142</v>
      </c>
      <c r="E42" s="13">
        <f>(1051 + 963 + 963)/3</f>
        <v>992.33333333333337</v>
      </c>
    </row>
    <row r="43" spans="1:11" x14ac:dyDescent="0.25">
      <c r="A43" s="12" t="s">
        <v>105</v>
      </c>
      <c r="B43" s="13" t="s">
        <v>137</v>
      </c>
      <c r="C43" s="13" t="s">
        <v>136</v>
      </c>
      <c r="D43" s="13" t="s">
        <v>143</v>
      </c>
      <c r="E43" s="13">
        <f>(1051 + 963 +963)/3</f>
        <v>992.33333333333337</v>
      </c>
    </row>
    <row r="44" spans="1:11" x14ac:dyDescent="0.25">
      <c r="A44" s="12" t="s">
        <v>106</v>
      </c>
      <c r="B44" s="13" t="s">
        <v>144</v>
      </c>
      <c r="C44" s="13" t="s">
        <v>136</v>
      </c>
      <c r="D44" s="13" t="s">
        <v>145</v>
      </c>
      <c r="E44" s="13">
        <f>(1210 + 1210 + 1210)/3</f>
        <v>1210</v>
      </c>
    </row>
    <row r="45" spans="1:11" x14ac:dyDescent="0.25">
      <c r="A45" s="12" t="s">
        <v>107</v>
      </c>
      <c r="B45" s="13"/>
      <c r="C45" s="13"/>
      <c r="D45" s="13"/>
      <c r="E45" s="13"/>
    </row>
    <row r="46" spans="1:11" x14ac:dyDescent="0.25">
      <c r="A46" s="12" t="s">
        <v>108</v>
      </c>
      <c r="B46" s="13"/>
      <c r="C46" s="13"/>
      <c r="D46" s="13"/>
      <c r="E46" s="13"/>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AVERAGE(E40:E53)</f>
        <v>1264.2666666666667</v>
      </c>
    </row>
  </sheetData>
  <mergeCells count="5">
    <mergeCell ref="A1:E1"/>
    <mergeCell ref="G1:K1"/>
    <mergeCell ref="A19:E19"/>
    <mergeCell ref="G19:K19"/>
    <mergeCell ref="A38:E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H36" sqref="H36"/>
    </sheetView>
  </sheetViews>
  <sheetFormatPr defaultRowHeight="15" x14ac:dyDescent="0.25"/>
  <cols>
    <col min="1" max="1" width="9.140625" style="9"/>
    <col min="2" max="2" width="12.42578125" style="9" bestFit="1" customWidth="1"/>
    <col min="3" max="3" width="13.28515625" style="9" customWidth="1"/>
    <col min="4" max="4" width="12.42578125" style="9" bestFit="1" customWidth="1"/>
    <col min="5" max="5" width="10.5703125" style="9" bestFit="1" customWidth="1"/>
    <col min="6" max="7" width="9.140625" style="9"/>
    <col min="8" max="9" width="10.5703125" style="9" bestFit="1" customWidth="1"/>
    <col min="10" max="16384" width="9.140625" style="9"/>
  </cols>
  <sheetData>
    <row r="1" spans="1:11" ht="15.75" x14ac:dyDescent="0.25">
      <c r="A1" s="72" t="s">
        <v>74</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f>(5060*2)/3</f>
        <v>3373.3333333333335</v>
      </c>
      <c r="C3" s="13">
        <f>(4490*2)/3</f>
        <v>2993.3333333333335</v>
      </c>
      <c r="D3" s="13"/>
      <c r="E3" s="13"/>
      <c r="G3" s="12" t="s">
        <v>80</v>
      </c>
      <c r="H3" s="13">
        <f>(6540*2)/3</f>
        <v>4360</v>
      </c>
      <c r="I3" s="13">
        <f>(5570*2)/3</f>
        <v>3713.3333333333335</v>
      </c>
      <c r="J3" s="13"/>
      <c r="K3" s="13"/>
    </row>
    <row r="4" spans="1:11" x14ac:dyDescent="0.25">
      <c r="A4" s="12" t="s">
        <v>81</v>
      </c>
      <c r="B4" s="13"/>
      <c r="D4" s="13"/>
      <c r="E4" s="13"/>
      <c r="G4" s="12" t="s">
        <v>81</v>
      </c>
      <c r="H4" s="13">
        <f>(5610*2)/3</f>
        <v>3740</v>
      </c>
      <c r="I4" s="13">
        <f>(5150*2)/3</f>
        <v>3433.3333333333335</v>
      </c>
      <c r="J4" s="13"/>
      <c r="K4" s="13"/>
    </row>
    <row r="5" spans="1:11" x14ac:dyDescent="0.25">
      <c r="A5" s="12" t="s">
        <v>82</v>
      </c>
      <c r="B5" s="13"/>
      <c r="C5" s="13"/>
      <c r="D5" s="13"/>
      <c r="E5" s="13"/>
      <c r="G5" s="12" t="s">
        <v>82</v>
      </c>
      <c r="H5" s="13">
        <f>(5920*2)/3</f>
        <v>3946.6666666666665</v>
      </c>
      <c r="I5" s="13">
        <f>(5150*2)/3</f>
        <v>3433.3333333333335</v>
      </c>
      <c r="J5" s="13"/>
      <c r="K5" s="13"/>
    </row>
    <row r="6" spans="1:11" x14ac:dyDescent="0.25">
      <c r="A6" s="12" t="s">
        <v>83</v>
      </c>
      <c r="B6" s="13"/>
      <c r="C6" s="13"/>
      <c r="D6" s="13"/>
      <c r="E6" s="13"/>
      <c r="G6" s="12" t="s">
        <v>83</v>
      </c>
      <c r="H6" s="13">
        <f>(6440*2)/3</f>
        <v>4293.333333333333</v>
      </c>
      <c r="I6" s="13"/>
      <c r="J6" s="13"/>
      <c r="K6" s="13"/>
    </row>
    <row r="7" spans="1:11" x14ac:dyDescent="0.25">
      <c r="A7" s="12" t="s">
        <v>84</v>
      </c>
      <c r="B7" s="13"/>
      <c r="C7" s="13"/>
      <c r="D7" s="13"/>
      <c r="E7" s="13"/>
      <c r="G7" s="12" t="s">
        <v>84</v>
      </c>
      <c r="H7" s="13"/>
      <c r="I7" s="13"/>
      <c r="J7" s="13"/>
      <c r="K7" s="13"/>
    </row>
    <row r="8" spans="1:11" x14ac:dyDescent="0.25">
      <c r="A8" s="12" t="s">
        <v>85</v>
      </c>
      <c r="B8" s="13"/>
      <c r="C8" s="13"/>
      <c r="D8" s="13"/>
      <c r="E8" s="13"/>
      <c r="G8" s="12" t="s">
        <v>85</v>
      </c>
      <c r="H8" s="13"/>
      <c r="I8" s="13"/>
      <c r="J8" s="13"/>
      <c r="K8" s="13"/>
    </row>
    <row r="9" spans="1:11" x14ac:dyDescent="0.25">
      <c r="A9" s="12" t="s">
        <v>86</v>
      </c>
      <c r="B9" s="13"/>
      <c r="C9" s="13"/>
      <c r="D9" s="13"/>
      <c r="E9" s="13"/>
      <c r="G9" s="12" t="s">
        <v>86</v>
      </c>
      <c r="H9" s="13"/>
      <c r="I9" s="13"/>
      <c r="J9" s="13"/>
      <c r="K9" s="13"/>
    </row>
    <row r="10" spans="1:11" x14ac:dyDescent="0.25">
      <c r="A10" s="12" t="s">
        <v>87</v>
      </c>
      <c r="B10" s="13"/>
      <c r="C10" s="13"/>
      <c r="D10" s="13"/>
      <c r="E10" s="13"/>
      <c r="G10" s="12" t="s">
        <v>87</v>
      </c>
      <c r="H10" s="13"/>
      <c r="I10" s="13"/>
      <c r="J10" s="13"/>
      <c r="K10" s="13"/>
    </row>
    <row r="11" spans="1:11" x14ac:dyDescent="0.25">
      <c r="A11" s="12" t="s">
        <v>88</v>
      </c>
      <c r="B11" s="13"/>
      <c r="C11" s="13"/>
      <c r="D11" s="13"/>
      <c r="E11" s="13"/>
      <c r="G11" s="12" t="s">
        <v>88</v>
      </c>
      <c r="H11" s="13"/>
      <c r="I11" s="13"/>
      <c r="J11" s="13"/>
      <c r="K11" s="13"/>
    </row>
    <row r="12" spans="1:11" x14ac:dyDescent="0.25">
      <c r="A12" s="12" t="s">
        <v>89</v>
      </c>
      <c r="B12" s="13"/>
      <c r="C12" s="13"/>
      <c r="D12" s="13"/>
      <c r="E12" s="13"/>
      <c r="G12" s="12" t="s">
        <v>89</v>
      </c>
      <c r="H12" s="13"/>
      <c r="I12" s="13"/>
      <c r="J12" s="13"/>
      <c r="K12" s="13"/>
    </row>
    <row r="13" spans="1:11" x14ac:dyDescent="0.25">
      <c r="A13" s="12" t="s">
        <v>90</v>
      </c>
      <c r="B13" s="13"/>
      <c r="C13" s="13"/>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1" ht="15.75" thickBot="1" x14ac:dyDescent="0.3">
      <c r="A17" s="11" t="s">
        <v>94</v>
      </c>
      <c r="B17" s="16">
        <f>AVERAGE(B3:B16)</f>
        <v>3373.3333333333335</v>
      </c>
      <c r="C17" s="16">
        <f>AVERAGE(C3:C16)</f>
        <v>2993.3333333333335</v>
      </c>
      <c r="D17" s="16"/>
      <c r="E17" s="16"/>
      <c r="G17" s="11" t="s">
        <v>94</v>
      </c>
      <c r="H17" s="16">
        <f>AVERAGE(H3:H16)</f>
        <v>4085</v>
      </c>
      <c r="I17" s="16">
        <f>AVERAGE(I3:I16)</f>
        <v>3526.6666666666665</v>
      </c>
      <c r="J17" s="16"/>
      <c r="K17" s="16"/>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80</v>
      </c>
      <c r="H21" s="13">
        <f>(6740*2)/3</f>
        <v>4493.333333333333</v>
      </c>
      <c r="I21" s="13"/>
      <c r="J21" s="13"/>
      <c r="K21" s="13"/>
    </row>
    <row r="22" spans="1:11" x14ac:dyDescent="0.25">
      <c r="A22" s="12" t="s">
        <v>81</v>
      </c>
      <c r="B22" s="13"/>
      <c r="C22" s="13"/>
      <c r="D22" s="13"/>
      <c r="E22" s="13"/>
      <c r="G22" s="12" t="s">
        <v>81</v>
      </c>
      <c r="H22" s="13"/>
      <c r="I22" s="13"/>
      <c r="J22" s="13"/>
      <c r="K22" s="13"/>
    </row>
    <row r="23" spans="1:11" x14ac:dyDescent="0.25">
      <c r="A23" s="12" t="s">
        <v>82</v>
      </c>
      <c r="B23" s="13"/>
      <c r="C23" s="13"/>
      <c r="D23" s="13"/>
      <c r="E23" s="13"/>
      <c r="G23" s="12" t="s">
        <v>82</v>
      </c>
      <c r="H23" s="13"/>
      <c r="I23" s="13"/>
      <c r="J23" s="13"/>
      <c r="K23" s="13"/>
    </row>
    <row r="24" spans="1:11" x14ac:dyDescent="0.25">
      <c r="A24" s="12" t="s">
        <v>83</v>
      </c>
      <c r="B24" s="13"/>
      <c r="C24" s="13"/>
      <c r="D24" s="13"/>
      <c r="E24" s="13"/>
      <c r="G24" s="12" t="s">
        <v>83</v>
      </c>
      <c r="H24" s="13"/>
      <c r="I24" s="13"/>
      <c r="J24" s="13"/>
      <c r="K24" s="13"/>
    </row>
    <row r="25" spans="1:11" x14ac:dyDescent="0.25">
      <c r="A25" s="12" t="s">
        <v>84</v>
      </c>
      <c r="B25" s="13"/>
      <c r="C25" s="13"/>
      <c r="D25" s="13"/>
      <c r="E25" s="13"/>
      <c r="G25" s="12" t="s">
        <v>84</v>
      </c>
      <c r="H25" s="13"/>
      <c r="I25" s="13"/>
      <c r="J25" s="13"/>
      <c r="K25" s="13"/>
    </row>
    <row r="26" spans="1:11" x14ac:dyDescent="0.25">
      <c r="A26" s="12" t="s">
        <v>85</v>
      </c>
      <c r="B26" s="13"/>
      <c r="C26" s="13"/>
      <c r="D26" s="13"/>
      <c r="E26" s="13"/>
      <c r="G26" s="12" t="s">
        <v>85</v>
      </c>
      <c r="H26" s="13"/>
      <c r="I26" s="13"/>
      <c r="J26" s="13"/>
      <c r="K26" s="13"/>
    </row>
    <row r="27" spans="1:11" x14ac:dyDescent="0.25">
      <c r="A27" s="12" t="s">
        <v>86</v>
      </c>
      <c r="B27" s="13"/>
      <c r="C27" s="13"/>
      <c r="D27" s="13"/>
      <c r="E27" s="13"/>
      <c r="G27" s="12" t="s">
        <v>86</v>
      </c>
      <c r="H27" s="13"/>
      <c r="I27" s="13"/>
      <c r="J27" s="13"/>
      <c r="K27" s="13"/>
    </row>
    <row r="28" spans="1:11" x14ac:dyDescent="0.25">
      <c r="A28" s="12" t="s">
        <v>87</v>
      </c>
      <c r="B28" s="13"/>
      <c r="C28" s="13"/>
      <c r="D28" s="13"/>
      <c r="E28" s="13"/>
      <c r="G28" s="12" t="s">
        <v>87</v>
      </c>
      <c r="H28" s="13"/>
      <c r="I28" s="13"/>
      <c r="J28" s="13"/>
      <c r="K28" s="13"/>
    </row>
    <row r="29" spans="1:11" x14ac:dyDescent="0.25">
      <c r="A29" s="12" t="s">
        <v>88</v>
      </c>
      <c r="B29" s="13"/>
      <c r="C29" s="13"/>
      <c r="D29" s="13"/>
      <c r="E29" s="13"/>
      <c r="G29" s="12" t="s">
        <v>88</v>
      </c>
      <c r="H29" s="13"/>
      <c r="I29" s="13"/>
      <c r="J29" s="13"/>
      <c r="K29" s="13"/>
    </row>
    <row r="30" spans="1:11" x14ac:dyDescent="0.25">
      <c r="A30" s="12" t="s">
        <v>89</v>
      </c>
      <c r="B30" s="13"/>
      <c r="C30" s="13"/>
      <c r="D30" s="13"/>
      <c r="E30" s="13"/>
      <c r="G30" s="12" t="s">
        <v>89</v>
      </c>
      <c r="H30" s="13"/>
      <c r="I30" s="13"/>
      <c r="J30" s="13"/>
      <c r="K30" s="13"/>
    </row>
    <row r="31" spans="1:11" x14ac:dyDescent="0.25">
      <c r="A31" s="12" t="s">
        <v>90</v>
      </c>
      <c r="B31" s="13"/>
      <c r="C31" s="13"/>
      <c r="D31" s="13"/>
      <c r="E31" s="13"/>
      <c r="G31" s="12" t="s">
        <v>90</v>
      </c>
      <c r="H31" s="13"/>
      <c r="I31" s="13"/>
      <c r="J31" s="13"/>
      <c r="K31" s="13"/>
    </row>
    <row r="32" spans="1:11"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f>AVERAGE(H21:H34)</f>
        <v>4493.333333333333</v>
      </c>
      <c r="I35" s="16"/>
      <c r="J35" s="16"/>
      <c r="K35" s="16"/>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t="s">
        <v>200</v>
      </c>
      <c r="C40" s="13" t="s">
        <v>136</v>
      </c>
      <c r="D40" s="13" t="s">
        <v>306</v>
      </c>
      <c r="E40" s="13">
        <f>(2745 * 2)/3</f>
        <v>1830</v>
      </c>
    </row>
    <row r="41" spans="1:11" x14ac:dyDescent="0.25">
      <c r="A41" s="12" t="s">
        <v>103</v>
      </c>
      <c r="B41" s="13" t="s">
        <v>200</v>
      </c>
      <c r="C41" s="13" t="s">
        <v>136</v>
      </c>
      <c r="D41" s="13" t="s">
        <v>309</v>
      </c>
      <c r="E41" s="13">
        <f>(2595*2)/3</f>
        <v>1730</v>
      </c>
    </row>
    <row r="42" spans="1:11" x14ac:dyDescent="0.25">
      <c r="A42" s="12" t="s">
        <v>104</v>
      </c>
      <c r="B42" s="13" t="s">
        <v>200</v>
      </c>
      <c r="C42" s="13" t="s">
        <v>136</v>
      </c>
      <c r="D42" s="13" t="s">
        <v>307</v>
      </c>
      <c r="E42" s="13">
        <f>(2455*2)/3</f>
        <v>1636.6666666666667</v>
      </c>
    </row>
    <row r="43" spans="1:11" x14ac:dyDescent="0.25">
      <c r="A43" s="12" t="s">
        <v>105</v>
      </c>
      <c r="B43" s="13" t="s">
        <v>200</v>
      </c>
      <c r="C43" s="13" t="s">
        <v>136</v>
      </c>
      <c r="D43" s="13" t="s">
        <v>308</v>
      </c>
      <c r="E43" s="13">
        <f>(950*2)/3</f>
        <v>633.33333333333337</v>
      </c>
    </row>
    <row r="44" spans="1:11" x14ac:dyDescent="0.25">
      <c r="A44" s="12" t="s">
        <v>106</v>
      </c>
      <c r="B44" s="13"/>
      <c r="C44" s="13"/>
      <c r="D44" s="13"/>
      <c r="E44" s="13"/>
    </row>
    <row r="45" spans="1:11" x14ac:dyDescent="0.25">
      <c r="A45" s="12" t="s">
        <v>107</v>
      </c>
      <c r="B45" s="13"/>
      <c r="C45" s="13"/>
      <c r="D45" s="13"/>
      <c r="E45" s="13"/>
    </row>
    <row r="46" spans="1:11" x14ac:dyDescent="0.25">
      <c r="A46" s="12" t="s">
        <v>108</v>
      </c>
      <c r="B46" s="13"/>
      <c r="C46" s="13"/>
      <c r="D46" s="13"/>
      <c r="E46" s="13"/>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AVERAGE(E40:E42)</f>
        <v>1732.2222222222224</v>
      </c>
    </row>
  </sheetData>
  <mergeCells count="5">
    <mergeCell ref="A1:E1"/>
    <mergeCell ref="G1:K1"/>
    <mergeCell ref="A19:E19"/>
    <mergeCell ref="G19:K19"/>
    <mergeCell ref="A38:E3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opLeftCell="A22" workbookViewId="0">
      <selection activeCell="M30" sqref="M30"/>
    </sheetView>
  </sheetViews>
  <sheetFormatPr defaultRowHeight="15" x14ac:dyDescent="0.25"/>
  <cols>
    <col min="1" max="2" width="9.140625" style="9"/>
    <col min="3" max="5" width="10.5703125" style="9" bestFit="1" customWidth="1"/>
    <col min="6" max="7" width="9.140625" style="9"/>
    <col min="8" max="11" width="10.5703125" style="9" bestFit="1" customWidth="1"/>
    <col min="12" max="16384" width="9.140625" style="9"/>
  </cols>
  <sheetData>
    <row r="1" spans="1:11" ht="15.75" x14ac:dyDescent="0.25">
      <c r="A1" s="72" t="s">
        <v>74</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c r="C3" s="13">
        <v>1900</v>
      </c>
      <c r="D3" s="13"/>
      <c r="E3" s="13"/>
      <c r="G3" s="12" t="s">
        <v>80</v>
      </c>
      <c r="H3" s="13"/>
      <c r="I3" s="13">
        <v>2244</v>
      </c>
      <c r="J3" s="13"/>
      <c r="K3" s="13"/>
    </row>
    <row r="4" spans="1:11" x14ac:dyDescent="0.25">
      <c r="A4" s="12" t="s">
        <v>81</v>
      </c>
      <c r="B4" s="13"/>
      <c r="C4" s="13"/>
      <c r="D4" s="13">
        <v>1700</v>
      </c>
      <c r="E4" s="13"/>
      <c r="G4" s="12" t="s">
        <v>81</v>
      </c>
      <c r="H4" s="13"/>
      <c r="I4" s="13">
        <v>2409</v>
      </c>
      <c r="J4" s="13"/>
      <c r="K4" s="13"/>
    </row>
    <row r="5" spans="1:11" x14ac:dyDescent="0.25">
      <c r="A5" s="12" t="s">
        <v>82</v>
      </c>
      <c r="B5" s="13"/>
      <c r="C5" s="13"/>
      <c r="D5" s="13"/>
      <c r="E5" s="13"/>
      <c r="G5" s="12" t="s">
        <v>82</v>
      </c>
      <c r="H5" s="13">
        <v>2571</v>
      </c>
      <c r="I5" s="13"/>
      <c r="J5" s="13"/>
      <c r="K5" s="13"/>
    </row>
    <row r="6" spans="1:11" x14ac:dyDescent="0.25">
      <c r="A6" s="12" t="s">
        <v>83</v>
      </c>
      <c r="B6" s="13"/>
      <c r="C6" s="13"/>
      <c r="D6" s="13"/>
      <c r="E6" s="13"/>
      <c r="G6" s="12" t="s">
        <v>83</v>
      </c>
      <c r="H6" s="13">
        <v>2736</v>
      </c>
      <c r="I6" s="13"/>
      <c r="J6" s="13"/>
      <c r="K6" s="13"/>
    </row>
    <row r="7" spans="1:11" x14ac:dyDescent="0.25">
      <c r="A7" s="12" t="s">
        <v>84</v>
      </c>
      <c r="B7" s="13"/>
      <c r="C7" s="13"/>
      <c r="D7" s="13"/>
      <c r="E7" s="13"/>
      <c r="G7" s="12" t="s">
        <v>84</v>
      </c>
      <c r="H7" s="13"/>
      <c r="I7" s="13"/>
      <c r="J7" s="13">
        <v>2081</v>
      </c>
      <c r="K7" s="13"/>
    </row>
    <row r="8" spans="1:11" x14ac:dyDescent="0.25">
      <c r="A8" s="12" t="s">
        <v>85</v>
      </c>
      <c r="B8" s="13"/>
      <c r="C8" s="13"/>
      <c r="D8" s="13"/>
      <c r="E8" s="13"/>
      <c r="G8" s="12" t="s">
        <v>85</v>
      </c>
      <c r="H8" s="13"/>
      <c r="I8" s="13"/>
      <c r="J8" s="13"/>
      <c r="K8" s="13">
        <v>2081</v>
      </c>
    </row>
    <row r="9" spans="1:11" x14ac:dyDescent="0.25">
      <c r="A9" s="12" t="s">
        <v>86</v>
      </c>
      <c r="B9" s="13"/>
      <c r="C9" s="13"/>
      <c r="D9" s="13"/>
      <c r="E9" s="13"/>
      <c r="G9" s="12" t="s">
        <v>86</v>
      </c>
      <c r="H9" s="13"/>
      <c r="I9" s="13"/>
      <c r="J9" s="13"/>
      <c r="K9" s="13"/>
    </row>
    <row r="10" spans="1:11" x14ac:dyDescent="0.25">
      <c r="A10" s="12" t="s">
        <v>87</v>
      </c>
      <c r="B10" s="13"/>
      <c r="C10" s="13"/>
      <c r="D10" s="13"/>
      <c r="E10" s="13"/>
      <c r="G10" s="12" t="s">
        <v>87</v>
      </c>
      <c r="H10" s="13"/>
      <c r="I10" s="13"/>
      <c r="J10" s="13"/>
      <c r="K10" s="13"/>
    </row>
    <row r="11" spans="1:11" x14ac:dyDescent="0.25">
      <c r="A11" s="12" t="s">
        <v>88</v>
      </c>
      <c r="B11" s="13"/>
      <c r="C11" s="13"/>
      <c r="D11" s="13"/>
      <c r="E11" s="13"/>
      <c r="G11" s="12" t="s">
        <v>88</v>
      </c>
      <c r="H11" s="13"/>
      <c r="I11" s="13"/>
      <c r="J11" s="13"/>
      <c r="K11" s="13"/>
    </row>
    <row r="12" spans="1:11" x14ac:dyDescent="0.25">
      <c r="A12" s="12" t="s">
        <v>89</v>
      </c>
      <c r="B12" s="13"/>
      <c r="C12" s="13"/>
      <c r="D12" s="13"/>
      <c r="E12" s="13"/>
      <c r="G12" s="12" t="s">
        <v>89</v>
      </c>
      <c r="H12" s="13"/>
      <c r="I12" s="13"/>
      <c r="J12" s="13"/>
      <c r="K12" s="13"/>
    </row>
    <row r="13" spans="1:11" x14ac:dyDescent="0.25">
      <c r="A13" s="12" t="s">
        <v>90</v>
      </c>
      <c r="B13" s="13"/>
      <c r="C13" s="13"/>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1" ht="15.75" thickBot="1" x14ac:dyDescent="0.3">
      <c r="A17" s="11" t="s">
        <v>94</v>
      </c>
      <c r="B17" s="16"/>
      <c r="C17" s="16">
        <f t="shared" ref="C17:D17" si="0">AVERAGE(C3:C16)</f>
        <v>1900</v>
      </c>
      <c r="D17" s="16">
        <f t="shared" si="0"/>
        <v>1700</v>
      </c>
      <c r="E17" s="16"/>
      <c r="G17" s="11" t="s">
        <v>94</v>
      </c>
      <c r="H17" s="16">
        <f>AVERAGE(H3:H16)</f>
        <v>2653.5</v>
      </c>
      <c r="I17" s="16">
        <f t="shared" ref="I17:K17" si="1">AVERAGE(I3:I16)</f>
        <v>2326.5</v>
      </c>
      <c r="J17" s="16">
        <f t="shared" si="1"/>
        <v>2081</v>
      </c>
      <c r="K17" s="16">
        <f t="shared" si="1"/>
        <v>2081</v>
      </c>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118</v>
      </c>
      <c r="H21" s="13">
        <v>2357</v>
      </c>
      <c r="I21" s="13"/>
      <c r="J21" s="13"/>
      <c r="K21" s="13"/>
    </row>
    <row r="22" spans="1:11" x14ac:dyDescent="0.25">
      <c r="A22" s="12" t="s">
        <v>81</v>
      </c>
      <c r="B22" s="13"/>
      <c r="C22" s="13"/>
      <c r="D22" s="13"/>
      <c r="E22" s="13"/>
      <c r="G22" s="12" t="s">
        <v>117</v>
      </c>
      <c r="H22" s="13">
        <v>2357</v>
      </c>
      <c r="I22" s="13"/>
      <c r="J22" s="13"/>
      <c r="K22" s="13"/>
    </row>
    <row r="23" spans="1:11" x14ac:dyDescent="0.25">
      <c r="A23" s="12" t="s">
        <v>82</v>
      </c>
      <c r="B23" s="13"/>
      <c r="C23" s="13"/>
      <c r="D23" s="13"/>
      <c r="E23" s="13"/>
      <c r="G23" s="12" t="s">
        <v>117</v>
      </c>
      <c r="H23" s="13">
        <v>1936</v>
      </c>
      <c r="I23" s="13"/>
      <c r="J23" s="13"/>
      <c r="K23" s="13"/>
    </row>
    <row r="24" spans="1:11" x14ac:dyDescent="0.25">
      <c r="A24" s="12" t="s">
        <v>83</v>
      </c>
      <c r="B24" s="13"/>
      <c r="C24" s="13"/>
      <c r="D24" s="13"/>
      <c r="E24" s="13"/>
      <c r="G24" s="12" t="s">
        <v>116</v>
      </c>
      <c r="H24" s="13"/>
      <c r="I24" s="13"/>
      <c r="J24" s="13"/>
      <c r="K24" s="13">
        <v>1936</v>
      </c>
    </row>
    <row r="25" spans="1:11" x14ac:dyDescent="0.25">
      <c r="A25" s="12" t="s">
        <v>84</v>
      </c>
      <c r="B25" s="13"/>
      <c r="C25" s="13"/>
      <c r="D25" s="13"/>
      <c r="E25" s="13"/>
      <c r="G25" s="12" t="s">
        <v>117</v>
      </c>
      <c r="H25" s="13"/>
      <c r="I25" s="13">
        <v>2490</v>
      </c>
      <c r="J25" s="13"/>
      <c r="K25" s="13"/>
    </row>
    <row r="26" spans="1:11" x14ac:dyDescent="0.25">
      <c r="A26" s="12" t="s">
        <v>85</v>
      </c>
      <c r="B26" s="13"/>
      <c r="C26" s="13"/>
      <c r="D26" s="13"/>
      <c r="E26" s="13"/>
      <c r="G26" s="12" t="s">
        <v>116</v>
      </c>
      <c r="H26" s="13"/>
      <c r="I26" s="13">
        <v>2234</v>
      </c>
      <c r="J26" s="13"/>
      <c r="K26" s="13"/>
    </row>
    <row r="27" spans="1:11" x14ac:dyDescent="0.25">
      <c r="A27" s="12" t="s">
        <v>86</v>
      </c>
      <c r="B27" s="13"/>
      <c r="C27" s="13"/>
      <c r="D27" s="13"/>
      <c r="E27" s="13"/>
      <c r="G27" s="12" t="s">
        <v>119</v>
      </c>
      <c r="H27" s="13"/>
      <c r="I27" s="13">
        <v>2234</v>
      </c>
      <c r="J27" s="13"/>
      <c r="K27" s="13"/>
    </row>
    <row r="28" spans="1:11" x14ac:dyDescent="0.25">
      <c r="A28" s="12" t="s">
        <v>87</v>
      </c>
      <c r="B28" s="13"/>
      <c r="C28" s="13"/>
      <c r="D28" s="13"/>
      <c r="E28" s="13"/>
      <c r="G28" s="12" t="s">
        <v>148</v>
      </c>
      <c r="H28" s="13">
        <v>2645</v>
      </c>
      <c r="I28" s="13"/>
      <c r="J28" s="13"/>
      <c r="K28" s="13"/>
    </row>
    <row r="29" spans="1:11" x14ac:dyDescent="0.25">
      <c r="A29" s="12" t="s">
        <v>88</v>
      </c>
      <c r="B29" s="13"/>
      <c r="C29" s="13"/>
      <c r="D29" s="13"/>
      <c r="E29" s="13"/>
      <c r="G29" s="12" t="s">
        <v>88</v>
      </c>
      <c r="H29" s="13"/>
      <c r="I29" s="13"/>
      <c r="J29" s="13"/>
      <c r="K29" s="13"/>
    </row>
    <row r="30" spans="1:11" x14ac:dyDescent="0.25">
      <c r="A30" s="12" t="s">
        <v>89</v>
      </c>
      <c r="B30" s="13"/>
      <c r="C30" s="13"/>
      <c r="D30" s="13"/>
      <c r="E30" s="13"/>
      <c r="G30" s="12" t="s">
        <v>89</v>
      </c>
      <c r="H30" s="13"/>
      <c r="I30" s="13"/>
      <c r="J30" s="13"/>
      <c r="K30" s="13"/>
    </row>
    <row r="31" spans="1:11" x14ac:dyDescent="0.25">
      <c r="A31" s="12" t="s">
        <v>90</v>
      </c>
      <c r="B31" s="13"/>
      <c r="C31" s="13"/>
      <c r="D31" s="13"/>
      <c r="E31" s="13"/>
      <c r="G31" s="12" t="s">
        <v>90</v>
      </c>
      <c r="H31" s="13"/>
      <c r="I31" s="13"/>
      <c r="J31" s="13"/>
      <c r="K31" s="13"/>
    </row>
    <row r="32" spans="1:11"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f>AVERAGE(H21:H34)</f>
        <v>2323.75</v>
      </c>
      <c r="I35" s="16">
        <f t="shared" ref="I35:K35" si="2">AVERAGE(I21:I34)</f>
        <v>2319.3333333333335</v>
      </c>
      <c r="J35" s="16"/>
      <c r="K35" s="16">
        <f t="shared" si="2"/>
        <v>1936</v>
      </c>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t="s">
        <v>150</v>
      </c>
      <c r="C40" s="13" t="s">
        <v>141</v>
      </c>
      <c r="D40" s="13" t="s">
        <v>149</v>
      </c>
      <c r="E40" s="13">
        <v>1551</v>
      </c>
    </row>
    <row r="41" spans="1:11" x14ac:dyDescent="0.25">
      <c r="A41" s="12" t="s">
        <v>103</v>
      </c>
      <c r="B41" s="13" t="s">
        <v>150</v>
      </c>
      <c r="C41" s="13" t="s">
        <v>141</v>
      </c>
      <c r="D41" s="13" t="s">
        <v>151</v>
      </c>
      <c r="E41" s="13">
        <v>1465</v>
      </c>
    </row>
    <row r="42" spans="1:11" x14ac:dyDescent="0.25">
      <c r="A42" s="12" t="s">
        <v>104</v>
      </c>
      <c r="B42" s="13" t="s">
        <v>150</v>
      </c>
      <c r="C42" s="13" t="s">
        <v>141</v>
      </c>
      <c r="D42" s="13" t="s">
        <v>152</v>
      </c>
      <c r="E42" s="13">
        <v>1395</v>
      </c>
    </row>
    <row r="43" spans="1:11" x14ac:dyDescent="0.25">
      <c r="A43" s="12" t="s">
        <v>105</v>
      </c>
      <c r="B43" s="13" t="s">
        <v>154</v>
      </c>
      <c r="C43" s="13" t="s">
        <v>141</v>
      </c>
      <c r="D43" s="13" t="s">
        <v>153</v>
      </c>
      <c r="E43" s="13">
        <v>1339</v>
      </c>
    </row>
    <row r="44" spans="1:11" x14ac:dyDescent="0.25">
      <c r="A44" s="12" t="s">
        <v>106</v>
      </c>
      <c r="B44" s="13" t="s">
        <v>155</v>
      </c>
      <c r="C44" s="13" t="s">
        <v>136</v>
      </c>
      <c r="D44" s="13" t="s">
        <v>156</v>
      </c>
      <c r="E44" s="13">
        <v>477</v>
      </c>
    </row>
    <row r="45" spans="1:11" x14ac:dyDescent="0.25">
      <c r="A45" s="12" t="s">
        <v>107</v>
      </c>
      <c r="B45" s="13" t="s">
        <v>155</v>
      </c>
      <c r="C45" s="13" t="s">
        <v>136</v>
      </c>
      <c r="D45" s="13" t="s">
        <v>157</v>
      </c>
      <c r="E45" s="13">
        <v>249</v>
      </c>
    </row>
    <row r="46" spans="1:11" x14ac:dyDescent="0.25">
      <c r="A46" s="12" t="s">
        <v>108</v>
      </c>
      <c r="B46" s="13" t="s">
        <v>144</v>
      </c>
      <c r="C46" s="13" t="s">
        <v>136</v>
      </c>
      <c r="D46" s="13" t="s">
        <v>158</v>
      </c>
      <c r="E46" s="13">
        <v>25</v>
      </c>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AVERAGE(E40:E43)</f>
        <v>1437.5</v>
      </c>
    </row>
  </sheetData>
  <mergeCells count="5">
    <mergeCell ref="A1:E1"/>
    <mergeCell ref="G1:K1"/>
    <mergeCell ref="A19:E19"/>
    <mergeCell ref="G19:K19"/>
    <mergeCell ref="A38:E3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opLeftCell="A19" workbookViewId="0">
      <selection activeCell="E55" sqref="E55"/>
    </sheetView>
  </sheetViews>
  <sheetFormatPr defaultRowHeight="15" x14ac:dyDescent="0.25"/>
  <cols>
    <col min="1" max="1" width="9.140625" style="9"/>
    <col min="2" max="5" width="10.5703125" style="9" bestFit="1" customWidth="1"/>
    <col min="6" max="7" width="9.140625" style="9"/>
    <col min="8" max="10" width="10.5703125" style="9" bestFit="1" customWidth="1"/>
    <col min="11" max="16384" width="9.140625" style="9"/>
  </cols>
  <sheetData>
    <row r="1" spans="1:11" ht="15.75" x14ac:dyDescent="0.25">
      <c r="A1" s="72" t="s">
        <v>74</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c r="C3" s="13">
        <f>(3150*2)/3</f>
        <v>2100</v>
      </c>
      <c r="D3" s="13">
        <f>(3150*2)/3</f>
        <v>2100</v>
      </c>
      <c r="E3" s="13"/>
      <c r="G3" s="12" t="s">
        <v>80</v>
      </c>
      <c r="H3" s="13"/>
      <c r="I3" s="13"/>
      <c r="J3" s="13"/>
      <c r="K3" s="13"/>
    </row>
    <row r="4" spans="1:11" x14ac:dyDescent="0.25">
      <c r="A4" s="12" t="s">
        <v>81</v>
      </c>
      <c r="B4" s="13">
        <f>(3780*2)/3</f>
        <v>2520</v>
      </c>
      <c r="C4" s="13"/>
      <c r="D4" s="13"/>
      <c r="E4" s="13"/>
      <c r="G4" s="12" t="s">
        <v>81</v>
      </c>
      <c r="H4" s="13"/>
      <c r="I4" s="13"/>
      <c r="J4" s="13"/>
      <c r="K4" s="13"/>
    </row>
    <row r="5" spans="1:11" x14ac:dyDescent="0.25">
      <c r="A5" s="12" t="s">
        <v>82</v>
      </c>
      <c r="B5" s="13"/>
      <c r="C5" s="13"/>
      <c r="D5" s="13"/>
      <c r="E5" s="13"/>
      <c r="G5" s="12" t="s">
        <v>82</v>
      </c>
      <c r="H5" s="13"/>
      <c r="I5" s="13"/>
      <c r="J5" s="13"/>
      <c r="K5" s="13"/>
    </row>
    <row r="6" spans="1:11" x14ac:dyDescent="0.25">
      <c r="A6" s="12" t="s">
        <v>83</v>
      </c>
      <c r="B6" s="13"/>
      <c r="C6" s="13"/>
      <c r="D6" s="13"/>
      <c r="E6" s="13"/>
      <c r="G6" s="12" t="s">
        <v>83</v>
      </c>
      <c r="H6" s="13"/>
      <c r="I6" s="13"/>
      <c r="J6" s="13"/>
      <c r="K6" s="13"/>
    </row>
    <row r="7" spans="1:11" x14ac:dyDescent="0.25">
      <c r="A7" s="12" t="s">
        <v>84</v>
      </c>
      <c r="B7" s="13"/>
      <c r="C7" s="13"/>
      <c r="D7" s="13"/>
      <c r="E7" s="13"/>
      <c r="G7" s="12" t="s">
        <v>84</v>
      </c>
      <c r="H7" s="13"/>
      <c r="I7" s="13"/>
      <c r="J7" s="13"/>
      <c r="K7" s="13"/>
    </row>
    <row r="8" spans="1:11" x14ac:dyDescent="0.25">
      <c r="A8" s="12" t="s">
        <v>85</v>
      </c>
      <c r="B8" s="13"/>
      <c r="C8" s="13"/>
      <c r="D8" s="13"/>
      <c r="E8" s="13"/>
      <c r="G8" s="12" t="s">
        <v>85</v>
      </c>
      <c r="H8" s="13"/>
      <c r="I8" s="13"/>
      <c r="J8" s="13"/>
      <c r="K8" s="13"/>
    </row>
    <row r="9" spans="1:11" x14ac:dyDescent="0.25">
      <c r="A9" s="12" t="s">
        <v>86</v>
      </c>
      <c r="B9" s="13"/>
      <c r="C9" s="13"/>
      <c r="D9" s="13"/>
      <c r="E9" s="13"/>
      <c r="G9" s="12" t="s">
        <v>86</v>
      </c>
      <c r="H9" s="13"/>
      <c r="I9" s="13"/>
      <c r="J9" s="13"/>
      <c r="K9" s="13"/>
    </row>
    <row r="10" spans="1:11" x14ac:dyDescent="0.25">
      <c r="A10" s="12" t="s">
        <v>87</v>
      </c>
      <c r="B10" s="13"/>
      <c r="C10" s="13"/>
      <c r="D10" s="13"/>
      <c r="E10" s="13"/>
      <c r="G10" s="12" t="s">
        <v>87</v>
      </c>
      <c r="H10" s="13"/>
      <c r="I10" s="13"/>
      <c r="J10" s="13"/>
      <c r="K10" s="13"/>
    </row>
    <row r="11" spans="1:11" x14ac:dyDescent="0.25">
      <c r="A11" s="12" t="s">
        <v>88</v>
      </c>
      <c r="B11" s="13"/>
      <c r="C11" s="13"/>
      <c r="D11" s="13"/>
      <c r="E11" s="13"/>
      <c r="G11" s="12" t="s">
        <v>88</v>
      </c>
      <c r="H11" s="13"/>
      <c r="I11" s="13"/>
      <c r="J11" s="13"/>
      <c r="K11" s="13"/>
    </row>
    <row r="12" spans="1:11" x14ac:dyDescent="0.25">
      <c r="A12" s="12" t="s">
        <v>89</v>
      </c>
      <c r="B12" s="13"/>
      <c r="C12" s="13"/>
      <c r="D12" s="13"/>
      <c r="E12" s="13"/>
      <c r="G12" s="12" t="s">
        <v>89</v>
      </c>
      <c r="H12" s="13"/>
      <c r="I12" s="13"/>
      <c r="J12" s="13"/>
      <c r="K12" s="13"/>
    </row>
    <row r="13" spans="1:11" x14ac:dyDescent="0.25">
      <c r="A13" s="12" t="s">
        <v>90</v>
      </c>
      <c r="B13" s="13"/>
      <c r="C13" s="13"/>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1" ht="15.75" thickBot="1" x14ac:dyDescent="0.3">
      <c r="A17" s="11" t="s">
        <v>94</v>
      </c>
      <c r="B17" s="16">
        <f>AVERAGE(B3:B16)</f>
        <v>2520</v>
      </c>
      <c r="C17" s="16">
        <f t="shared" ref="C17:D17" si="0">AVERAGE(C3:C16)</f>
        <v>2100</v>
      </c>
      <c r="D17" s="16">
        <f t="shared" si="0"/>
        <v>2100</v>
      </c>
      <c r="E17" s="16"/>
      <c r="G17" s="11" t="s">
        <v>94</v>
      </c>
      <c r="H17" s="16"/>
      <c r="I17" s="16"/>
      <c r="J17" s="16"/>
      <c r="K17" s="16"/>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80</v>
      </c>
      <c r="H21" s="13">
        <f>(3780*2)/3</f>
        <v>2520</v>
      </c>
      <c r="I21" s="13">
        <f>(3150*2)/3</f>
        <v>2100</v>
      </c>
      <c r="J21" s="13"/>
      <c r="K21" s="13"/>
    </row>
    <row r="22" spans="1:11" x14ac:dyDescent="0.25">
      <c r="A22" s="12" t="s">
        <v>81</v>
      </c>
      <c r="B22" s="13"/>
      <c r="C22" s="13"/>
      <c r="D22" s="13"/>
      <c r="E22" s="13"/>
      <c r="G22" s="12" t="s">
        <v>81</v>
      </c>
      <c r="H22" s="13"/>
      <c r="I22" s="13">
        <f>(3780*2)/3</f>
        <v>2520</v>
      </c>
      <c r="J22" s="13">
        <f>(3780*2)/3</f>
        <v>2520</v>
      </c>
      <c r="K22" s="13"/>
    </row>
    <row r="23" spans="1:11" x14ac:dyDescent="0.25">
      <c r="A23" s="12" t="s">
        <v>82</v>
      </c>
      <c r="B23" s="13"/>
      <c r="C23" s="13"/>
      <c r="D23" s="13"/>
      <c r="E23" s="13"/>
      <c r="G23" s="12" t="s">
        <v>82</v>
      </c>
      <c r="H23" s="13"/>
      <c r="I23" s="13"/>
      <c r="J23" s="13"/>
      <c r="K23" s="13"/>
    </row>
    <row r="24" spans="1:11" x14ac:dyDescent="0.25">
      <c r="A24" s="12" t="s">
        <v>83</v>
      </c>
      <c r="B24" s="13"/>
      <c r="C24" s="13"/>
      <c r="D24" s="13"/>
      <c r="E24" s="13"/>
      <c r="G24" s="12" t="s">
        <v>83</v>
      </c>
      <c r="H24" s="13"/>
      <c r="I24" s="13"/>
      <c r="J24" s="13"/>
      <c r="K24" s="13"/>
    </row>
    <row r="25" spans="1:11" x14ac:dyDescent="0.25">
      <c r="A25" s="12" t="s">
        <v>84</v>
      </c>
      <c r="B25" s="13"/>
      <c r="C25" s="13"/>
      <c r="D25" s="13"/>
      <c r="E25" s="13"/>
      <c r="G25" s="12" t="s">
        <v>84</v>
      </c>
      <c r="H25" s="13"/>
      <c r="I25" s="13"/>
      <c r="J25" s="13"/>
      <c r="K25" s="13"/>
    </row>
    <row r="26" spans="1:11" x14ac:dyDescent="0.25">
      <c r="A26" s="12" t="s">
        <v>85</v>
      </c>
      <c r="B26" s="13"/>
      <c r="C26" s="13"/>
      <c r="D26" s="13"/>
      <c r="E26" s="13"/>
      <c r="G26" s="12" t="s">
        <v>85</v>
      </c>
      <c r="H26" s="13"/>
      <c r="I26" s="13"/>
      <c r="J26" s="13"/>
      <c r="K26" s="13"/>
    </row>
    <row r="27" spans="1:11" x14ac:dyDescent="0.25">
      <c r="A27" s="12" t="s">
        <v>86</v>
      </c>
      <c r="B27" s="13"/>
      <c r="C27" s="13"/>
      <c r="D27" s="13"/>
      <c r="E27" s="13"/>
      <c r="G27" s="12" t="s">
        <v>86</v>
      </c>
      <c r="H27" s="13"/>
      <c r="I27" s="13"/>
      <c r="J27" s="13"/>
      <c r="K27" s="13"/>
    </row>
    <row r="28" spans="1:11" x14ac:dyDescent="0.25">
      <c r="A28" s="12" t="s">
        <v>87</v>
      </c>
      <c r="B28" s="13"/>
      <c r="C28" s="13"/>
      <c r="D28" s="13"/>
      <c r="E28" s="13"/>
      <c r="G28" s="12" t="s">
        <v>87</v>
      </c>
      <c r="H28" s="13"/>
      <c r="I28" s="13"/>
      <c r="J28" s="13"/>
      <c r="K28" s="13"/>
    </row>
    <row r="29" spans="1:11" x14ac:dyDescent="0.25">
      <c r="A29" s="12" t="s">
        <v>88</v>
      </c>
      <c r="B29" s="13"/>
      <c r="C29" s="13"/>
      <c r="D29" s="13"/>
      <c r="E29" s="13"/>
      <c r="G29" s="12" t="s">
        <v>88</v>
      </c>
      <c r="H29" s="13"/>
      <c r="I29" s="13"/>
      <c r="J29" s="13"/>
      <c r="K29" s="13"/>
    </row>
    <row r="30" spans="1:11" x14ac:dyDescent="0.25">
      <c r="A30" s="12" t="s">
        <v>89</v>
      </c>
      <c r="B30" s="13"/>
      <c r="C30" s="13"/>
      <c r="D30" s="13"/>
      <c r="E30" s="13"/>
      <c r="G30" s="12" t="s">
        <v>89</v>
      </c>
      <c r="H30" s="13"/>
      <c r="I30" s="13"/>
      <c r="J30" s="13"/>
      <c r="K30" s="13"/>
    </row>
    <row r="31" spans="1:11" x14ac:dyDescent="0.25">
      <c r="A31" s="12" t="s">
        <v>90</v>
      </c>
      <c r="B31" s="13"/>
      <c r="C31" s="13"/>
      <c r="D31" s="13"/>
      <c r="E31" s="13"/>
      <c r="G31" s="12" t="s">
        <v>90</v>
      </c>
      <c r="H31" s="13"/>
      <c r="I31" s="13"/>
      <c r="J31" s="13"/>
      <c r="K31" s="13"/>
    </row>
    <row r="32" spans="1:11"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f>AVERAGE(H21:H34)</f>
        <v>2520</v>
      </c>
      <c r="I35" s="16">
        <f t="shared" ref="I35:J35" si="1">AVERAGE(I21:I34)</f>
        <v>2310</v>
      </c>
      <c r="J35" s="16">
        <f t="shared" si="1"/>
        <v>2520</v>
      </c>
      <c r="K35" s="16"/>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t="s">
        <v>190</v>
      </c>
      <c r="C40" s="13" t="s">
        <v>141</v>
      </c>
      <c r="D40" s="13" t="s">
        <v>209</v>
      </c>
      <c r="E40" s="13">
        <f>(2485*2)/3</f>
        <v>1656.6666666666667</v>
      </c>
    </row>
    <row r="41" spans="1:11" x14ac:dyDescent="0.25">
      <c r="A41" s="12" t="s">
        <v>103</v>
      </c>
      <c r="B41" s="13" t="s">
        <v>190</v>
      </c>
      <c r="C41" s="13" t="s">
        <v>141</v>
      </c>
      <c r="D41" s="13" t="s">
        <v>210</v>
      </c>
      <c r="E41" s="13">
        <f>(2590*2)/3</f>
        <v>1726.6666666666667</v>
      </c>
    </row>
    <row r="42" spans="1:11" x14ac:dyDescent="0.25">
      <c r="A42" s="12" t="s">
        <v>104</v>
      </c>
      <c r="B42" s="13" t="s">
        <v>190</v>
      </c>
      <c r="C42" s="13" t="s">
        <v>141</v>
      </c>
      <c r="D42" s="13" t="s">
        <v>211</v>
      </c>
      <c r="E42" s="13">
        <f>(2740*2)/3</f>
        <v>1826.6666666666667</v>
      </c>
    </row>
    <row r="43" spans="1:11" x14ac:dyDescent="0.25">
      <c r="A43" s="12" t="s">
        <v>105</v>
      </c>
      <c r="B43" s="13" t="s">
        <v>190</v>
      </c>
      <c r="C43" s="13" t="s">
        <v>141</v>
      </c>
      <c r="D43" s="13" t="s">
        <v>212</v>
      </c>
      <c r="E43" s="13">
        <f>(2835*2)/3</f>
        <v>1890</v>
      </c>
    </row>
    <row r="44" spans="1:11" x14ac:dyDescent="0.25">
      <c r="A44" s="12" t="s">
        <v>106</v>
      </c>
      <c r="B44" s="13" t="s">
        <v>190</v>
      </c>
      <c r="C44" s="13" t="s">
        <v>136</v>
      </c>
      <c r="D44" s="13" t="s">
        <v>213</v>
      </c>
      <c r="E44" s="13">
        <f>(1025*2)/3</f>
        <v>683.33333333333337</v>
      </c>
    </row>
    <row r="45" spans="1:11" x14ac:dyDescent="0.25">
      <c r="A45" s="12" t="s">
        <v>107</v>
      </c>
      <c r="B45" s="13"/>
      <c r="C45" s="13"/>
      <c r="D45" s="13"/>
      <c r="E45" s="13"/>
    </row>
    <row r="46" spans="1:11" x14ac:dyDescent="0.25">
      <c r="A46" s="12" t="s">
        <v>108</v>
      </c>
      <c r="B46" s="13"/>
      <c r="C46" s="13"/>
      <c r="D46" s="13"/>
      <c r="E46" s="13"/>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f>AVERAGE(E40:E43)</f>
        <v>1775</v>
      </c>
    </row>
  </sheetData>
  <mergeCells count="5">
    <mergeCell ref="A1:E1"/>
    <mergeCell ref="G1:K1"/>
    <mergeCell ref="A19:E19"/>
    <mergeCell ref="G19:K19"/>
    <mergeCell ref="A38:E3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H35" sqref="H35"/>
    </sheetView>
  </sheetViews>
  <sheetFormatPr defaultRowHeight="15" x14ac:dyDescent="0.25"/>
  <cols>
    <col min="1" max="7" width="9.140625" style="9"/>
    <col min="8" max="9" width="10.5703125" style="9" bestFit="1" customWidth="1"/>
    <col min="10" max="16384" width="9.140625" style="9"/>
  </cols>
  <sheetData>
    <row r="1" spans="1:11" ht="15.75" x14ac:dyDescent="0.25">
      <c r="A1" s="72" t="s">
        <v>74</v>
      </c>
      <c r="B1" s="72"/>
      <c r="C1" s="72"/>
      <c r="D1" s="72"/>
      <c r="E1" s="72"/>
      <c r="G1" s="72" t="s">
        <v>75</v>
      </c>
      <c r="H1" s="72"/>
      <c r="I1" s="72"/>
      <c r="J1" s="72"/>
      <c r="K1" s="72"/>
    </row>
    <row r="2" spans="1:11" x14ac:dyDescent="0.25">
      <c r="A2" s="12"/>
      <c r="B2" s="17" t="s">
        <v>76</v>
      </c>
      <c r="C2" s="17" t="s">
        <v>77</v>
      </c>
      <c r="D2" s="17" t="s">
        <v>78</v>
      </c>
      <c r="E2" s="17" t="s">
        <v>79</v>
      </c>
      <c r="F2" s="10"/>
      <c r="G2" s="17"/>
      <c r="H2" s="17" t="s">
        <v>76</v>
      </c>
      <c r="I2" s="17" t="s">
        <v>77</v>
      </c>
      <c r="J2" s="17" t="s">
        <v>78</v>
      </c>
      <c r="K2" s="17" t="s">
        <v>79</v>
      </c>
    </row>
    <row r="3" spans="1:11" x14ac:dyDescent="0.25">
      <c r="A3" s="12" t="s">
        <v>80</v>
      </c>
      <c r="B3" s="13"/>
      <c r="C3" s="13"/>
      <c r="D3" s="13"/>
      <c r="E3" s="13"/>
      <c r="G3" s="12" t="s">
        <v>80</v>
      </c>
      <c r="H3" s="13"/>
      <c r="I3" s="13"/>
      <c r="J3" s="13"/>
      <c r="K3" s="13"/>
    </row>
    <row r="4" spans="1:11" x14ac:dyDescent="0.25">
      <c r="A4" s="12" t="s">
        <v>81</v>
      </c>
      <c r="B4" s="13"/>
      <c r="C4" s="13"/>
      <c r="D4" s="13"/>
      <c r="E4" s="13"/>
      <c r="G4" s="12" t="s">
        <v>81</v>
      </c>
      <c r="H4" s="13"/>
      <c r="I4" s="13"/>
      <c r="J4" s="13"/>
      <c r="K4" s="13"/>
    </row>
    <row r="5" spans="1:11" x14ac:dyDescent="0.25">
      <c r="A5" s="12" t="s">
        <v>82</v>
      </c>
      <c r="B5" s="13"/>
      <c r="C5" s="13"/>
      <c r="D5" s="13"/>
      <c r="E5" s="13"/>
      <c r="G5" s="12" t="s">
        <v>82</v>
      </c>
      <c r="H5" s="13"/>
      <c r="I5" s="13"/>
      <c r="J5" s="13"/>
      <c r="K5" s="13"/>
    </row>
    <row r="6" spans="1:11" x14ac:dyDescent="0.25">
      <c r="A6" s="12" t="s">
        <v>83</v>
      </c>
      <c r="B6" s="13"/>
      <c r="C6" s="13"/>
      <c r="D6" s="13"/>
      <c r="E6" s="13"/>
      <c r="G6" s="12" t="s">
        <v>83</v>
      </c>
      <c r="H6" s="13"/>
      <c r="I6" s="13"/>
      <c r="J6" s="13"/>
      <c r="K6" s="13"/>
    </row>
    <row r="7" spans="1:11" x14ac:dyDescent="0.25">
      <c r="A7" s="12" t="s">
        <v>84</v>
      </c>
      <c r="B7" s="13"/>
      <c r="C7" s="13"/>
      <c r="D7" s="13"/>
      <c r="E7" s="13"/>
      <c r="G7" s="12" t="s">
        <v>84</v>
      </c>
      <c r="H7" s="13"/>
      <c r="I7" s="13"/>
      <c r="J7" s="13"/>
      <c r="K7" s="13"/>
    </row>
    <row r="8" spans="1:11" x14ac:dyDescent="0.25">
      <c r="A8" s="12" t="s">
        <v>85</v>
      </c>
      <c r="B8" s="13"/>
      <c r="C8" s="13"/>
      <c r="D8" s="13"/>
      <c r="E8" s="13"/>
      <c r="G8" s="12" t="s">
        <v>85</v>
      </c>
      <c r="H8" s="13"/>
      <c r="I8" s="13"/>
      <c r="J8" s="13"/>
      <c r="K8" s="13"/>
    </row>
    <row r="9" spans="1:11" x14ac:dyDescent="0.25">
      <c r="A9" s="12" t="s">
        <v>86</v>
      </c>
      <c r="B9" s="13"/>
      <c r="C9" s="13"/>
      <c r="D9" s="13"/>
      <c r="E9" s="13"/>
      <c r="G9" s="12" t="s">
        <v>86</v>
      </c>
      <c r="H9" s="13"/>
      <c r="I9" s="13"/>
      <c r="J9" s="13"/>
      <c r="K9" s="13"/>
    </row>
    <row r="10" spans="1:11" x14ac:dyDescent="0.25">
      <c r="A10" s="12" t="s">
        <v>87</v>
      </c>
      <c r="B10" s="13"/>
      <c r="C10" s="13"/>
      <c r="D10" s="13"/>
      <c r="E10" s="13"/>
      <c r="G10" s="12" t="s">
        <v>87</v>
      </c>
      <c r="H10" s="13"/>
      <c r="I10" s="13"/>
      <c r="J10" s="13"/>
      <c r="K10" s="13"/>
    </row>
    <row r="11" spans="1:11" x14ac:dyDescent="0.25">
      <c r="A11" s="12" t="s">
        <v>88</v>
      </c>
      <c r="B11" s="13"/>
      <c r="C11" s="13"/>
      <c r="D11" s="13"/>
      <c r="E11" s="13"/>
      <c r="G11" s="12" t="s">
        <v>88</v>
      </c>
      <c r="H11" s="13"/>
      <c r="I11" s="13"/>
      <c r="J11" s="13"/>
      <c r="K11" s="13"/>
    </row>
    <row r="12" spans="1:11" x14ac:dyDescent="0.25">
      <c r="A12" s="12" t="s">
        <v>89</v>
      </c>
      <c r="B12" s="13"/>
      <c r="C12" s="13"/>
      <c r="D12" s="13"/>
      <c r="E12" s="13"/>
      <c r="G12" s="12" t="s">
        <v>89</v>
      </c>
      <c r="H12" s="13"/>
      <c r="I12" s="13"/>
      <c r="J12" s="13"/>
      <c r="K12" s="13"/>
    </row>
    <row r="13" spans="1:11" x14ac:dyDescent="0.25">
      <c r="A13" s="12" t="s">
        <v>90</v>
      </c>
      <c r="B13" s="13"/>
      <c r="C13" s="13"/>
      <c r="D13" s="13"/>
      <c r="E13" s="13"/>
      <c r="G13" s="12" t="s">
        <v>90</v>
      </c>
      <c r="H13" s="13"/>
      <c r="I13" s="13"/>
      <c r="J13" s="13"/>
      <c r="K13" s="13"/>
    </row>
    <row r="14" spans="1:11" x14ac:dyDescent="0.25">
      <c r="A14" s="12" t="s">
        <v>91</v>
      </c>
      <c r="B14" s="13"/>
      <c r="C14" s="13"/>
      <c r="D14" s="13"/>
      <c r="E14" s="13"/>
      <c r="G14" s="12" t="s">
        <v>91</v>
      </c>
      <c r="H14" s="13"/>
      <c r="I14" s="13"/>
      <c r="J14" s="13"/>
      <c r="K14" s="13"/>
    </row>
    <row r="15" spans="1:11" x14ac:dyDescent="0.25">
      <c r="A15" s="12" t="s">
        <v>92</v>
      </c>
      <c r="B15" s="13"/>
      <c r="C15" s="13"/>
      <c r="D15" s="13"/>
      <c r="E15" s="13"/>
      <c r="G15" s="12" t="s">
        <v>92</v>
      </c>
      <c r="H15" s="13"/>
      <c r="I15" s="13"/>
      <c r="J15" s="13"/>
      <c r="K15" s="13"/>
    </row>
    <row r="16" spans="1:11" ht="15.75" thickBot="1" x14ac:dyDescent="0.3">
      <c r="A16" s="14" t="s">
        <v>93</v>
      </c>
      <c r="B16" s="15"/>
      <c r="C16" s="15"/>
      <c r="D16" s="15"/>
      <c r="E16" s="15"/>
      <c r="G16" s="14" t="s">
        <v>93</v>
      </c>
      <c r="H16" s="15"/>
      <c r="I16" s="15"/>
      <c r="J16" s="15"/>
      <c r="K16" s="15"/>
    </row>
    <row r="17" spans="1:11" ht="15.75" thickBot="1" x14ac:dyDescent="0.3">
      <c r="A17" s="11" t="s">
        <v>94</v>
      </c>
      <c r="B17" s="16"/>
      <c r="C17" s="16"/>
      <c r="D17" s="16"/>
      <c r="E17" s="16"/>
      <c r="G17" s="11" t="s">
        <v>94</v>
      </c>
      <c r="H17" s="16"/>
      <c r="I17" s="16"/>
      <c r="J17" s="16"/>
      <c r="K17" s="16"/>
    </row>
    <row r="18" spans="1:11" ht="15.75" thickTop="1" x14ac:dyDescent="0.25"/>
    <row r="19" spans="1:11" ht="15.75" x14ac:dyDescent="0.25">
      <c r="A19" s="72" t="s">
        <v>95</v>
      </c>
      <c r="B19" s="72"/>
      <c r="C19" s="72"/>
      <c r="D19" s="72"/>
      <c r="E19" s="72"/>
      <c r="G19" s="72" t="s">
        <v>96</v>
      </c>
      <c r="H19" s="72"/>
      <c r="I19" s="72"/>
      <c r="J19" s="72"/>
      <c r="K19" s="72"/>
    </row>
    <row r="20" spans="1:11" x14ac:dyDescent="0.25">
      <c r="A20" s="12"/>
      <c r="B20" s="17" t="s">
        <v>76</v>
      </c>
      <c r="C20" s="17" t="s">
        <v>77</v>
      </c>
      <c r="D20" s="17" t="s">
        <v>78</v>
      </c>
      <c r="E20" s="17" t="s">
        <v>79</v>
      </c>
      <c r="F20" s="18"/>
      <c r="G20" s="17"/>
      <c r="H20" s="17" t="s">
        <v>76</v>
      </c>
      <c r="I20" s="17" t="s">
        <v>77</v>
      </c>
      <c r="J20" s="17" t="s">
        <v>78</v>
      </c>
      <c r="K20" s="17" t="s">
        <v>79</v>
      </c>
    </row>
    <row r="21" spans="1:11" x14ac:dyDescent="0.25">
      <c r="A21" s="12" t="s">
        <v>80</v>
      </c>
      <c r="B21" s="13"/>
      <c r="C21" s="13"/>
      <c r="D21" s="13"/>
      <c r="E21" s="13"/>
      <c r="G21" s="12" t="s">
        <v>80</v>
      </c>
      <c r="H21" s="13"/>
      <c r="I21" s="13">
        <v>2745</v>
      </c>
      <c r="J21" s="13"/>
      <c r="K21" s="13"/>
    </row>
    <row r="22" spans="1:11" x14ac:dyDescent="0.25">
      <c r="A22" s="12" t="s">
        <v>81</v>
      </c>
      <c r="B22" s="13"/>
      <c r="C22" s="13"/>
      <c r="D22" s="13"/>
      <c r="E22" s="13"/>
      <c r="G22" s="12" t="s">
        <v>81</v>
      </c>
      <c r="H22" s="13">
        <v>3745</v>
      </c>
      <c r="I22" s="13"/>
      <c r="J22" s="13"/>
      <c r="K22" s="13"/>
    </row>
    <row r="23" spans="1:11" x14ac:dyDescent="0.25">
      <c r="A23" s="12" t="s">
        <v>82</v>
      </c>
      <c r="B23" s="13"/>
      <c r="C23" s="13"/>
      <c r="D23" s="13"/>
      <c r="E23" s="13"/>
      <c r="G23" s="12" t="s">
        <v>82</v>
      </c>
      <c r="H23" s="13"/>
      <c r="I23" s="13"/>
      <c r="J23" s="13"/>
      <c r="K23" s="13"/>
    </row>
    <row r="24" spans="1:11" x14ac:dyDescent="0.25">
      <c r="A24" s="12" t="s">
        <v>83</v>
      </c>
      <c r="B24" s="13"/>
      <c r="C24" s="13"/>
      <c r="D24" s="13"/>
      <c r="E24" s="13"/>
      <c r="G24" s="12" t="s">
        <v>83</v>
      </c>
      <c r="H24" s="13"/>
      <c r="I24" s="13"/>
      <c r="J24" s="13"/>
      <c r="K24" s="13"/>
    </row>
    <row r="25" spans="1:11" x14ac:dyDescent="0.25">
      <c r="A25" s="12" t="s">
        <v>84</v>
      </c>
      <c r="B25" s="13"/>
      <c r="C25" s="13"/>
      <c r="D25" s="13"/>
      <c r="E25" s="13"/>
      <c r="G25" s="12" t="s">
        <v>84</v>
      </c>
      <c r="H25" s="13"/>
      <c r="I25" s="13"/>
      <c r="J25" s="13"/>
      <c r="K25" s="13"/>
    </row>
    <row r="26" spans="1:11" x14ac:dyDescent="0.25">
      <c r="A26" s="12" t="s">
        <v>85</v>
      </c>
      <c r="B26" s="13"/>
      <c r="C26" s="13"/>
      <c r="D26" s="13"/>
      <c r="E26" s="13"/>
      <c r="G26" s="12" t="s">
        <v>85</v>
      </c>
      <c r="H26" s="13"/>
      <c r="I26" s="13"/>
      <c r="J26" s="13"/>
      <c r="K26" s="13"/>
    </row>
    <row r="27" spans="1:11" x14ac:dyDescent="0.25">
      <c r="A27" s="12" t="s">
        <v>86</v>
      </c>
      <c r="B27" s="13"/>
      <c r="C27" s="13"/>
      <c r="D27" s="13"/>
      <c r="E27" s="13"/>
      <c r="G27" s="12" t="s">
        <v>86</v>
      </c>
      <c r="H27" s="13"/>
      <c r="I27" s="13"/>
      <c r="J27" s="13"/>
      <c r="K27" s="13"/>
    </row>
    <row r="28" spans="1:11" x14ac:dyDescent="0.25">
      <c r="A28" s="12" t="s">
        <v>87</v>
      </c>
      <c r="B28" s="13"/>
      <c r="C28" s="13"/>
      <c r="D28" s="13"/>
      <c r="E28" s="13"/>
      <c r="G28" s="12" t="s">
        <v>87</v>
      </c>
      <c r="H28" s="13"/>
      <c r="I28" s="13"/>
      <c r="J28" s="13"/>
      <c r="K28" s="13"/>
    </row>
    <row r="29" spans="1:11" x14ac:dyDescent="0.25">
      <c r="A29" s="12" t="s">
        <v>88</v>
      </c>
      <c r="B29" s="13"/>
      <c r="C29" s="13"/>
      <c r="D29" s="13"/>
      <c r="E29" s="13"/>
      <c r="G29" s="12" t="s">
        <v>88</v>
      </c>
      <c r="H29" s="13"/>
      <c r="I29" s="13"/>
      <c r="J29" s="13"/>
      <c r="K29" s="13"/>
    </row>
    <row r="30" spans="1:11" x14ac:dyDescent="0.25">
      <c r="A30" s="12" t="s">
        <v>89</v>
      </c>
      <c r="B30" s="13"/>
      <c r="C30" s="13"/>
      <c r="D30" s="13"/>
      <c r="E30" s="13"/>
      <c r="G30" s="12" t="s">
        <v>89</v>
      </c>
      <c r="H30" s="13"/>
      <c r="I30" s="13"/>
      <c r="J30" s="13"/>
      <c r="K30" s="13"/>
    </row>
    <row r="31" spans="1:11" x14ac:dyDescent="0.25">
      <c r="A31" s="12" t="s">
        <v>90</v>
      </c>
      <c r="B31" s="13"/>
      <c r="C31" s="13"/>
      <c r="D31" s="13"/>
      <c r="E31" s="13"/>
      <c r="G31" s="12" t="s">
        <v>90</v>
      </c>
      <c r="H31" s="13"/>
      <c r="I31" s="13"/>
      <c r="J31" s="13"/>
      <c r="K31" s="13"/>
    </row>
    <row r="32" spans="1:11" x14ac:dyDescent="0.25">
      <c r="A32" s="12" t="s">
        <v>91</v>
      </c>
      <c r="B32" s="13"/>
      <c r="C32" s="13"/>
      <c r="D32" s="13"/>
      <c r="E32" s="13"/>
      <c r="G32" s="12" t="s">
        <v>91</v>
      </c>
      <c r="H32" s="13"/>
      <c r="I32" s="13"/>
      <c r="J32" s="13"/>
      <c r="K32" s="13"/>
    </row>
    <row r="33" spans="1:11" x14ac:dyDescent="0.25">
      <c r="A33" s="12" t="s">
        <v>92</v>
      </c>
      <c r="B33" s="13"/>
      <c r="C33" s="13"/>
      <c r="D33" s="13"/>
      <c r="E33" s="13"/>
      <c r="G33" s="12" t="s">
        <v>92</v>
      </c>
      <c r="H33" s="13"/>
      <c r="I33" s="13"/>
      <c r="J33" s="13"/>
      <c r="K33" s="13"/>
    </row>
    <row r="34" spans="1:11" ht="15.75" thickBot="1" x14ac:dyDescent="0.3">
      <c r="A34" s="14" t="s">
        <v>93</v>
      </c>
      <c r="B34" s="15"/>
      <c r="C34" s="15"/>
      <c r="D34" s="15"/>
      <c r="E34" s="15"/>
      <c r="G34" s="14" t="s">
        <v>93</v>
      </c>
      <c r="H34" s="15"/>
      <c r="I34" s="15"/>
      <c r="J34" s="15"/>
      <c r="K34" s="15"/>
    </row>
    <row r="35" spans="1:11" ht="15.75" thickBot="1" x14ac:dyDescent="0.3">
      <c r="A35" s="11" t="s">
        <v>94</v>
      </c>
      <c r="B35" s="16"/>
      <c r="C35" s="16"/>
      <c r="D35" s="16"/>
      <c r="E35" s="16"/>
      <c r="G35" s="11" t="s">
        <v>94</v>
      </c>
      <c r="H35" s="16">
        <f>AVERAGE(H21:H34)</f>
        <v>3745</v>
      </c>
      <c r="I35" s="16">
        <f>AVERAGE(I21:I34)</f>
        <v>2745</v>
      </c>
      <c r="J35" s="16"/>
      <c r="K35" s="16"/>
    </row>
    <row r="36" spans="1:11" ht="15.75" thickTop="1" x14ac:dyDescent="0.25"/>
    <row r="38" spans="1:11" ht="15.75" x14ac:dyDescent="0.25">
      <c r="A38" s="72" t="s">
        <v>97</v>
      </c>
      <c r="B38" s="72"/>
      <c r="C38" s="72"/>
      <c r="D38" s="72"/>
      <c r="E38" s="72"/>
    </row>
    <row r="39" spans="1:11" x14ac:dyDescent="0.25">
      <c r="A39" s="12"/>
      <c r="B39" s="17" t="s">
        <v>98</v>
      </c>
      <c r="C39" s="17" t="s">
        <v>99</v>
      </c>
      <c r="D39" s="17" t="s">
        <v>100</v>
      </c>
      <c r="E39" s="17" t="s">
        <v>101</v>
      </c>
    </row>
    <row r="40" spans="1:11" x14ac:dyDescent="0.25">
      <c r="A40" s="12" t="s">
        <v>102</v>
      </c>
      <c r="B40" s="13"/>
      <c r="C40" s="13"/>
      <c r="D40" s="13"/>
      <c r="E40" s="13"/>
    </row>
    <row r="41" spans="1:11" x14ac:dyDescent="0.25">
      <c r="A41" s="12" t="s">
        <v>103</v>
      </c>
      <c r="B41" s="13"/>
      <c r="C41" s="13"/>
      <c r="D41" s="13"/>
      <c r="E41" s="13"/>
    </row>
    <row r="42" spans="1:11" x14ac:dyDescent="0.25">
      <c r="A42" s="12" t="s">
        <v>104</v>
      </c>
      <c r="B42" s="13"/>
      <c r="C42" s="13"/>
      <c r="D42" s="13"/>
      <c r="E42" s="13"/>
    </row>
    <row r="43" spans="1:11" x14ac:dyDescent="0.25">
      <c r="A43" s="12" t="s">
        <v>105</v>
      </c>
      <c r="B43" s="13"/>
      <c r="C43" s="13"/>
      <c r="D43" s="13"/>
      <c r="E43" s="13"/>
    </row>
    <row r="44" spans="1:11" x14ac:dyDescent="0.25">
      <c r="A44" s="12" t="s">
        <v>106</v>
      </c>
      <c r="B44" s="13"/>
      <c r="C44" s="13"/>
      <c r="D44" s="13"/>
      <c r="E44" s="13"/>
    </row>
    <row r="45" spans="1:11" x14ac:dyDescent="0.25">
      <c r="A45" s="12" t="s">
        <v>107</v>
      </c>
      <c r="B45" s="13"/>
      <c r="C45" s="13"/>
      <c r="D45" s="13"/>
      <c r="E45" s="13"/>
    </row>
    <row r="46" spans="1:11" x14ac:dyDescent="0.25">
      <c r="A46" s="12" t="s">
        <v>108</v>
      </c>
      <c r="B46" s="13"/>
      <c r="C46" s="13"/>
      <c r="D46" s="13"/>
      <c r="E46" s="13"/>
    </row>
    <row r="47" spans="1:11" x14ac:dyDescent="0.25">
      <c r="A47" s="12" t="s">
        <v>109</v>
      </c>
      <c r="B47" s="13"/>
      <c r="C47" s="13"/>
      <c r="D47" s="13"/>
      <c r="E47" s="13"/>
    </row>
    <row r="48" spans="1:11" x14ac:dyDescent="0.25">
      <c r="A48" s="12" t="s">
        <v>110</v>
      </c>
      <c r="B48" s="13"/>
      <c r="C48" s="13"/>
      <c r="D48" s="13"/>
      <c r="E48" s="13"/>
    </row>
    <row r="49" spans="1:5" x14ac:dyDescent="0.25">
      <c r="A49" s="12" t="s">
        <v>111</v>
      </c>
      <c r="B49" s="13"/>
      <c r="C49" s="13"/>
      <c r="D49" s="13"/>
      <c r="E49" s="13"/>
    </row>
    <row r="50" spans="1:5" x14ac:dyDescent="0.25">
      <c r="A50" s="12" t="s">
        <v>112</v>
      </c>
      <c r="B50" s="13"/>
      <c r="C50" s="13"/>
      <c r="D50" s="13"/>
      <c r="E50" s="13"/>
    </row>
    <row r="51" spans="1:5" x14ac:dyDescent="0.25">
      <c r="A51" s="12" t="s">
        <v>113</v>
      </c>
      <c r="B51" s="13"/>
      <c r="C51" s="13"/>
      <c r="D51" s="13"/>
      <c r="E51" s="13"/>
    </row>
    <row r="52" spans="1:5" x14ac:dyDescent="0.25">
      <c r="A52" s="12" t="s">
        <v>114</v>
      </c>
      <c r="B52" s="13"/>
      <c r="C52" s="13"/>
      <c r="D52" s="13"/>
      <c r="E52" s="13"/>
    </row>
    <row r="53" spans="1:5" ht="15.75" thickBot="1" x14ac:dyDescent="0.3">
      <c r="A53" s="12" t="s">
        <v>115</v>
      </c>
      <c r="B53" s="15"/>
      <c r="C53" s="15"/>
      <c r="D53" s="15"/>
      <c r="E53" s="15"/>
    </row>
    <row r="54" spans="1:5" ht="15.75" thickBot="1" x14ac:dyDescent="0.3">
      <c r="A54" s="11" t="s">
        <v>94</v>
      </c>
      <c r="B54" s="16"/>
      <c r="C54" s="16"/>
      <c r="D54" s="16"/>
      <c r="E54" s="16"/>
    </row>
  </sheetData>
  <mergeCells count="5">
    <mergeCell ref="A1:E1"/>
    <mergeCell ref="G1:K1"/>
    <mergeCell ref="A19:E19"/>
    <mergeCell ref="G19:K19"/>
    <mergeCell ref="A38:E3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SumaryMP1516</vt:lpstr>
      <vt:lpstr>SummaryHR1516</vt:lpstr>
      <vt:lpstr>CWU</vt:lpstr>
      <vt:lpstr>EWU</vt:lpstr>
      <vt:lpstr>ESC</vt:lpstr>
      <vt:lpstr>SMU</vt:lpstr>
      <vt:lpstr>SPU</vt:lpstr>
      <vt:lpstr>UPS</vt:lpstr>
      <vt:lpstr>UW-B</vt:lpstr>
      <vt:lpstr>UW-S</vt:lpstr>
      <vt:lpstr>UW-T</vt:lpstr>
      <vt:lpstr>WSU</vt:lpstr>
      <vt:lpstr>WWU</vt:lpstr>
      <vt:lpstr>GU</vt:lpstr>
      <vt:lpstr>SU</vt:lpstr>
      <vt:lpstr>CSMB</vt:lpstr>
      <vt:lpstr>MSU-B</vt:lpstr>
      <vt:lpstr>FSU</vt:lpstr>
      <vt:lpstr>RU-C</vt:lpstr>
      <vt:lpstr>UIS</vt:lpstr>
      <vt:lpstr>UMW</vt:lpstr>
      <vt:lpstr>UWP</vt:lpstr>
      <vt:lpstr>BU</vt:lpstr>
    </vt:vector>
  </TitlesOfParts>
  <Company>University of Washington Bothell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Dubois</dc:creator>
  <cp:lastModifiedBy>Christopher</cp:lastModifiedBy>
  <dcterms:created xsi:type="dcterms:W3CDTF">2015-04-02T21:25:43Z</dcterms:created>
  <dcterms:modified xsi:type="dcterms:W3CDTF">2015-08-28T19:07:32Z</dcterms:modified>
</cp:coreProperties>
</file>